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. 15 ธ.ค. 65\"/>
    </mc:Choice>
  </mc:AlternateContent>
  <xr:revisionPtr revIDLastSave="0" documentId="13_ncr:1_{B077B3B5-E3F2-4340-9C5F-DC77751CE9B1}" xr6:coauthVersionLast="37" xr6:coauthVersionMax="37" xr10:uidLastSave="{00000000-0000-0000-0000-000000000000}"/>
  <bookViews>
    <workbookView xWindow="0" yWindow="0" windowWidth="19920" windowHeight="9225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1">กาญจนบุรี!$A$1:$P$828</definedName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ชลบุรี!$A$1:$P$828</definedName>
    <definedName name="_xlnm.Print_Area" localSheetId="5">ชัยนาท!$A$1:$P$828</definedName>
    <definedName name="_xlnm.Print_Area" localSheetId="6">ตราด!$A$1:$P$828</definedName>
    <definedName name="_xlnm.Print_Area" localSheetId="7">นครนายก!$A$1:$P$828</definedName>
    <definedName name="_xlnm.Print_Area" localSheetId="8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L660" i="15" l="1"/>
  <c r="L690" i="15"/>
  <c r="L660" i="11"/>
  <c r="L690" i="11"/>
  <c r="L690" i="7"/>
  <c r="L660" i="7"/>
  <c r="L690" i="5"/>
  <c r="L660" i="5"/>
  <c r="J828" i="22" l="1"/>
  <c r="I828" i="22"/>
  <c r="J827" i="22"/>
  <c r="I827" i="22"/>
  <c r="J826" i="22"/>
  <c r="I826" i="22"/>
  <c r="K826" i="22" s="1"/>
  <c r="J825" i="22"/>
  <c r="I825" i="22"/>
  <c r="K825" i="22" s="1"/>
  <c r="J824" i="22"/>
  <c r="I824" i="22"/>
  <c r="J823" i="22"/>
  <c r="I823" i="22"/>
  <c r="J822" i="22"/>
  <c r="I822" i="22"/>
  <c r="K822" i="22" s="1"/>
  <c r="J821" i="22"/>
  <c r="I821" i="22"/>
  <c r="K821" i="22" s="1"/>
  <c r="P817" i="22"/>
  <c r="O817" i="22"/>
  <c r="P816" i="22"/>
  <c r="O816" i="22"/>
  <c r="P815" i="22"/>
  <c r="O815" i="22"/>
  <c r="N815" i="22"/>
  <c r="M815" i="22"/>
  <c r="L815" i="22"/>
  <c r="P810" i="22"/>
  <c r="O810" i="22"/>
  <c r="N810" i="22"/>
  <c r="P809" i="22"/>
  <c r="O809" i="22"/>
  <c r="O808" i="22"/>
  <c r="M808" i="22"/>
  <c r="P808" i="22" s="1"/>
  <c r="L808" i="22"/>
  <c r="M807" i="22"/>
  <c r="P807" i="22" s="1"/>
  <c r="L807" i="22"/>
  <c r="N806" i="22"/>
  <c r="M806" i="22"/>
  <c r="P806" i="22" s="1"/>
  <c r="L806" i="22"/>
  <c r="O806" i="22" s="1"/>
  <c r="P805" i="22"/>
  <c r="M805" i="22"/>
  <c r="K804" i="22"/>
  <c r="J804" i="22"/>
  <c r="K802" i="22"/>
  <c r="J801" i="22"/>
  <c r="J800" i="22"/>
  <c r="J785" i="22" s="1"/>
  <c r="I800" i="22"/>
  <c r="K800" i="22" s="1"/>
  <c r="P798" i="22"/>
  <c r="O798" i="22"/>
  <c r="P797" i="22"/>
  <c r="O797" i="22"/>
  <c r="P796" i="22"/>
  <c r="O796" i="22"/>
  <c r="N796" i="22"/>
  <c r="M796" i="22"/>
  <c r="L796" i="22"/>
  <c r="P791" i="22"/>
  <c r="N791" i="22"/>
  <c r="L791" i="22"/>
  <c r="P790" i="22"/>
  <c r="O790" i="22"/>
  <c r="N789" i="22"/>
  <c r="M789" i="22"/>
  <c r="P789" i="22" s="1"/>
  <c r="N788" i="22"/>
  <c r="M788" i="22"/>
  <c r="P788" i="22" s="1"/>
  <c r="N787" i="22"/>
  <c r="N786" i="22" s="1"/>
  <c r="M787" i="22"/>
  <c r="P787" i="22" s="1"/>
  <c r="L787" i="22"/>
  <c r="O787" i="22" s="1"/>
  <c r="P786" i="22"/>
  <c r="M786" i="22"/>
  <c r="I785" i="22"/>
  <c r="K785" i="22" s="1"/>
  <c r="P782" i="22"/>
  <c r="O782" i="22"/>
  <c r="P781" i="22"/>
  <c r="O781" i="22"/>
  <c r="P780" i="22"/>
  <c r="N780" i="22"/>
  <c r="M780" i="22"/>
  <c r="L780" i="22"/>
  <c r="O780" i="22" s="1"/>
  <c r="P775" i="22"/>
  <c r="O775" i="22"/>
  <c r="N775" i="22"/>
  <c r="N772" i="22" s="1"/>
  <c r="N770" i="22" s="1"/>
  <c r="P774" i="22"/>
  <c r="O774" i="22"/>
  <c r="P773" i="22"/>
  <c r="O773" i="22"/>
  <c r="N773" i="22"/>
  <c r="M773" i="22"/>
  <c r="L773" i="22"/>
  <c r="O772" i="22"/>
  <c r="M772" i="22"/>
  <c r="L772" i="22"/>
  <c r="N771" i="22"/>
  <c r="M771" i="22"/>
  <c r="P771" i="22" s="1"/>
  <c r="L771" i="22"/>
  <c r="K769" i="22"/>
  <c r="J769" i="22"/>
  <c r="P766" i="22"/>
  <c r="O766" i="22"/>
  <c r="P765" i="22"/>
  <c r="O765" i="22"/>
  <c r="P764" i="22"/>
  <c r="N764" i="22"/>
  <c r="M764" i="22"/>
  <c r="L764" i="22"/>
  <c r="O764" i="22" s="1"/>
  <c r="P759" i="22"/>
  <c r="O759" i="22"/>
  <c r="N759" i="22"/>
  <c r="N756" i="22" s="1"/>
  <c r="N754" i="22" s="1"/>
  <c r="P758" i="22"/>
  <c r="O758" i="22"/>
  <c r="P757" i="22"/>
  <c r="O757" i="22"/>
  <c r="N757" i="22"/>
  <c r="M757" i="22"/>
  <c r="L757" i="22"/>
  <c r="O756" i="22"/>
  <c r="M756" i="22"/>
  <c r="L756" i="22"/>
  <c r="N755" i="22"/>
  <c r="M755" i="22"/>
  <c r="P755" i="22" s="1"/>
  <c r="L755" i="22"/>
  <c r="K753" i="22"/>
  <c r="J753" i="22"/>
  <c r="P749" i="22"/>
  <c r="O749" i="22"/>
  <c r="P748" i="22"/>
  <c r="O748" i="22"/>
  <c r="P747" i="22"/>
  <c r="N747" i="22"/>
  <c r="M747" i="22"/>
  <c r="L747" i="22"/>
  <c r="O747" i="22" s="1"/>
  <c r="P742" i="22"/>
  <c r="O742" i="22"/>
  <c r="N742" i="22"/>
  <c r="N739" i="22" s="1"/>
  <c r="P741" i="22"/>
  <c r="O741" i="22"/>
  <c r="P740" i="22"/>
  <c r="O740" i="22"/>
  <c r="N740" i="22"/>
  <c r="M740" i="22"/>
  <c r="L740" i="22"/>
  <c r="O739" i="22"/>
  <c r="M739" i="22"/>
  <c r="L739" i="22"/>
  <c r="N738" i="22"/>
  <c r="M738" i="22"/>
  <c r="P738" i="22" s="1"/>
  <c r="L738" i="22"/>
  <c r="K736" i="22"/>
  <c r="J736" i="22"/>
  <c r="J729" i="22"/>
  <c r="I729" i="22"/>
  <c r="K729" i="22" s="1"/>
  <c r="J728" i="22"/>
  <c r="I728" i="22"/>
  <c r="K728" i="22" s="1"/>
  <c r="J727" i="22"/>
  <c r="J726" i="22"/>
  <c r="I726" i="22"/>
  <c r="K726" i="22" s="1"/>
  <c r="J725" i="22"/>
  <c r="I725" i="22"/>
  <c r="J724" i="22"/>
  <c r="J723" i="22"/>
  <c r="I723" i="22"/>
  <c r="I722" i="22"/>
  <c r="I721" i="22"/>
  <c r="J720" i="22"/>
  <c r="I720" i="22"/>
  <c r="K720" i="22" s="1"/>
  <c r="J719" i="22"/>
  <c r="J718" i="22"/>
  <c r="J708" i="22"/>
  <c r="I708" i="22"/>
  <c r="K708" i="22" s="1"/>
  <c r="I707" i="22"/>
  <c r="I704" i="22"/>
  <c r="J701" i="22"/>
  <c r="I701" i="22"/>
  <c r="J700" i="22"/>
  <c r="I700" i="22"/>
  <c r="J699" i="22"/>
  <c r="I699" i="22"/>
  <c r="P697" i="22"/>
  <c r="O697" i="22"/>
  <c r="P696" i="22"/>
  <c r="O696" i="22"/>
  <c r="P695" i="22"/>
  <c r="N695" i="22"/>
  <c r="M695" i="22"/>
  <c r="L695" i="22"/>
  <c r="O695" i="22" s="1"/>
  <c r="P690" i="22"/>
  <c r="N690" i="22"/>
  <c r="N688" i="22" s="1"/>
  <c r="L690" i="22"/>
  <c r="L688" i="22" s="1"/>
  <c r="M688" i="22"/>
  <c r="P688" i="22" s="1"/>
  <c r="P687" i="22"/>
  <c r="N687" i="22"/>
  <c r="M687" i="22"/>
  <c r="O686" i="22"/>
  <c r="N686" i="22"/>
  <c r="N685" i="22" s="1"/>
  <c r="M686" i="22"/>
  <c r="P686" i="22" s="1"/>
  <c r="L686" i="22"/>
  <c r="M685" i="22"/>
  <c r="P685" i="22" s="1"/>
  <c r="J679" i="22"/>
  <c r="J678" i="22"/>
  <c r="I678" i="22"/>
  <c r="K678" i="22" s="1"/>
  <c r="J675" i="22"/>
  <c r="J669" i="22" s="1"/>
  <c r="I671" i="22"/>
  <c r="K671" i="22" s="1"/>
  <c r="I670" i="22"/>
  <c r="K670" i="22" s="1"/>
  <c r="I669" i="22"/>
  <c r="K674" i="22" s="1"/>
  <c r="P667" i="22"/>
  <c r="O667" i="22"/>
  <c r="P666" i="22"/>
  <c r="O666" i="22"/>
  <c r="N665" i="22"/>
  <c r="M665" i="22"/>
  <c r="P665" i="22" s="1"/>
  <c r="L665" i="22"/>
  <c r="O665" i="22" s="1"/>
  <c r="P660" i="22"/>
  <c r="N660" i="22"/>
  <c r="L660" i="22"/>
  <c r="O660" i="22" s="1"/>
  <c r="P659" i="22"/>
  <c r="O659" i="22"/>
  <c r="N658" i="22"/>
  <c r="M658" i="22"/>
  <c r="P658" i="22" s="1"/>
  <c r="N657" i="22"/>
  <c r="M657" i="22"/>
  <c r="P657" i="22" s="1"/>
  <c r="P656" i="22"/>
  <c r="N656" i="22"/>
  <c r="N655" i="22" s="1"/>
  <c r="M656" i="22"/>
  <c r="L656" i="22"/>
  <c r="O656" i="22" s="1"/>
  <c r="M655" i="22"/>
  <c r="P655" i="22" s="1"/>
  <c r="J654" i="22"/>
  <c r="K652" i="22"/>
  <c r="J652" i="22"/>
  <c r="J651" i="22"/>
  <c r="J628" i="22" s="1"/>
  <c r="I651" i="22"/>
  <c r="K651" i="22" s="1"/>
  <c r="K650" i="22"/>
  <c r="J650" i="22"/>
  <c r="J649" i="22"/>
  <c r="I649" i="22"/>
  <c r="K649" i="22" s="1"/>
  <c r="K648" i="22"/>
  <c r="J648" i="22"/>
  <c r="J647" i="22"/>
  <c r="I647" i="22"/>
  <c r="K647" i="22" s="1"/>
  <c r="K646" i="22"/>
  <c r="J646" i="22"/>
  <c r="K645" i="22"/>
  <c r="J645" i="22"/>
  <c r="I644" i="22"/>
  <c r="K644" i="22" s="1"/>
  <c r="I643" i="22"/>
  <c r="K643" i="22" s="1"/>
  <c r="P641" i="22"/>
  <c r="L641" i="22"/>
  <c r="P640" i="22"/>
  <c r="O640" i="22"/>
  <c r="P639" i="22"/>
  <c r="N639" i="22"/>
  <c r="M639" i="22"/>
  <c r="P634" i="22"/>
  <c r="N634" i="22"/>
  <c r="N632" i="22" s="1"/>
  <c r="L634" i="22"/>
  <c r="O634" i="22" s="1"/>
  <c r="P633" i="22"/>
  <c r="O633" i="22"/>
  <c r="M632" i="22"/>
  <c r="P632" i="22" s="1"/>
  <c r="M631" i="22"/>
  <c r="P631" i="22" s="1"/>
  <c r="P630" i="22"/>
  <c r="N630" i="22"/>
  <c r="M630" i="22"/>
  <c r="M629" i="22" s="1"/>
  <c r="P629" i="22" s="1"/>
  <c r="L630" i="22"/>
  <c r="O630" i="22" s="1"/>
  <c r="J621" i="22"/>
  <c r="I621" i="22"/>
  <c r="K621" i="22" s="1"/>
  <c r="J620" i="22"/>
  <c r="I620" i="22"/>
  <c r="K620" i="22" s="1"/>
  <c r="K613" i="22"/>
  <c r="J613" i="22"/>
  <c r="K612" i="22"/>
  <c r="J612" i="22"/>
  <c r="K611" i="22"/>
  <c r="J611" i="22"/>
  <c r="J604" i="22"/>
  <c r="J603" i="22"/>
  <c r="J596" i="22"/>
  <c r="J594" i="22" s="1"/>
  <c r="J595" i="22"/>
  <c r="I594" i="22"/>
  <c r="K594" i="22" s="1"/>
  <c r="J593" i="22"/>
  <c r="J592" i="22" s="1"/>
  <c r="I593" i="22"/>
  <c r="J583" i="22"/>
  <c r="J582" i="22"/>
  <c r="J576" i="22" s="1"/>
  <c r="J559" i="22" s="1"/>
  <c r="J543" i="22" s="1"/>
  <c r="J577" i="22"/>
  <c r="I577" i="22"/>
  <c r="K577" i="22" s="1"/>
  <c r="I576" i="22"/>
  <c r="K576" i="22" s="1"/>
  <c r="J569" i="22"/>
  <c r="I569" i="22"/>
  <c r="K569" i="22" s="1"/>
  <c r="J568" i="22"/>
  <c r="I568" i="22"/>
  <c r="K568" i="22" s="1"/>
  <c r="J561" i="22"/>
  <c r="I561" i="22"/>
  <c r="K561" i="22" s="1"/>
  <c r="J560" i="22"/>
  <c r="I560" i="22"/>
  <c r="K560" i="22" s="1"/>
  <c r="P557" i="22"/>
  <c r="L557" i="22"/>
  <c r="P556" i="22"/>
  <c r="O556" i="22"/>
  <c r="N555" i="22"/>
  <c r="M555" i="22"/>
  <c r="P555" i="22" s="1"/>
  <c r="P549" i="22"/>
  <c r="N549" i="22"/>
  <c r="L549" i="22"/>
  <c r="O549" i="22" s="1"/>
  <c r="P548" i="22"/>
  <c r="O548" i="22"/>
  <c r="N547" i="22"/>
  <c r="M547" i="22"/>
  <c r="P547" i="22" s="1"/>
  <c r="P546" i="22"/>
  <c r="N546" i="22"/>
  <c r="M546" i="22"/>
  <c r="P545" i="22"/>
  <c r="O545" i="22"/>
  <c r="N545" i="22"/>
  <c r="M545" i="22"/>
  <c r="M544" i="22" s="1"/>
  <c r="P544" i="22" s="1"/>
  <c r="L545" i="22"/>
  <c r="N544" i="22"/>
  <c r="I542" i="22"/>
  <c r="K542" i="22" s="1"/>
  <c r="I541" i="22"/>
  <c r="K541" i="22" s="1"/>
  <c r="I540" i="22"/>
  <c r="K540" i="22" s="1"/>
  <c r="I539" i="22"/>
  <c r="K539" i="22" s="1"/>
  <c r="I538" i="22"/>
  <c r="K538" i="22" s="1"/>
  <c r="I537" i="22"/>
  <c r="P535" i="22"/>
  <c r="L535" i="22"/>
  <c r="L533" i="22" s="1"/>
  <c r="O533" i="22" s="1"/>
  <c r="P534" i="22"/>
  <c r="O534" i="22"/>
  <c r="P533" i="22"/>
  <c r="N533" i="22"/>
  <c r="M533" i="22"/>
  <c r="P528" i="22"/>
  <c r="N528" i="22"/>
  <c r="L528" i="22"/>
  <c r="L526" i="22" s="1"/>
  <c r="O526" i="22" s="1"/>
  <c r="P527" i="22"/>
  <c r="O527" i="22"/>
  <c r="P526" i="22"/>
  <c r="N526" i="22"/>
  <c r="M526" i="22"/>
  <c r="N525" i="22"/>
  <c r="M525" i="22"/>
  <c r="P525" i="22" s="1"/>
  <c r="N524" i="22"/>
  <c r="N523" i="22" s="1"/>
  <c r="M524" i="22"/>
  <c r="P524" i="22" s="1"/>
  <c r="L524" i="22"/>
  <c r="O524" i="22" s="1"/>
  <c r="M523" i="22"/>
  <c r="P523" i="22" s="1"/>
  <c r="K517" i="22"/>
  <c r="J517" i="22"/>
  <c r="J501" i="22" s="1"/>
  <c r="K516" i="22"/>
  <c r="P514" i="22"/>
  <c r="O514" i="22"/>
  <c r="P513" i="22"/>
  <c r="O513" i="22"/>
  <c r="O512" i="22"/>
  <c r="N512" i="22"/>
  <c r="M512" i="22"/>
  <c r="P512" i="22" s="1"/>
  <c r="L512" i="22"/>
  <c r="P507" i="22"/>
  <c r="O507" i="22"/>
  <c r="N507" i="22"/>
  <c r="N504" i="22" s="1"/>
  <c r="P506" i="22"/>
  <c r="O506" i="22"/>
  <c r="N505" i="22"/>
  <c r="M505" i="22"/>
  <c r="P505" i="22" s="1"/>
  <c r="L505" i="22"/>
  <c r="O505" i="22" s="1"/>
  <c r="M504" i="22"/>
  <c r="L504" i="22"/>
  <c r="O504" i="22" s="1"/>
  <c r="P503" i="22"/>
  <c r="N503" i="22"/>
  <c r="M503" i="22"/>
  <c r="L503" i="22"/>
  <c r="N502" i="22"/>
  <c r="K501" i="22"/>
  <c r="K500" i="22"/>
  <c r="J500" i="22"/>
  <c r="I498" i="22"/>
  <c r="K498" i="22" s="1"/>
  <c r="I495" i="22"/>
  <c r="K495" i="22" s="1"/>
  <c r="I492" i="22"/>
  <c r="K492" i="22" s="1"/>
  <c r="I489" i="22"/>
  <c r="K489" i="22" s="1"/>
  <c r="I487" i="22"/>
  <c r="K487" i="22" s="1"/>
  <c r="I485" i="22"/>
  <c r="K485" i="22" s="1"/>
  <c r="I483" i="22"/>
  <c r="K483" i="22" s="1"/>
  <c r="P479" i="22"/>
  <c r="L479" i="22"/>
  <c r="O479" i="22" s="1"/>
  <c r="P478" i="22"/>
  <c r="O478" i="22"/>
  <c r="N477" i="22"/>
  <c r="M477" i="22"/>
  <c r="P477" i="22" s="1"/>
  <c r="P472" i="22"/>
  <c r="N472" i="22"/>
  <c r="N469" i="22" s="1"/>
  <c r="L472" i="22"/>
  <c r="P471" i="22"/>
  <c r="O471" i="22"/>
  <c r="M470" i="22"/>
  <c r="P470" i="22" s="1"/>
  <c r="M469" i="22"/>
  <c r="P468" i="22"/>
  <c r="N468" i="22"/>
  <c r="M468" i="22"/>
  <c r="L468" i="22"/>
  <c r="N467" i="22"/>
  <c r="J466" i="22"/>
  <c r="I466" i="22"/>
  <c r="K466" i="22" s="1"/>
  <c r="J465" i="22"/>
  <c r="I465" i="22"/>
  <c r="K465" i="22" s="1"/>
  <c r="I464" i="22"/>
  <c r="I463" i="22"/>
  <c r="I462" i="22"/>
  <c r="K462" i="22" s="1"/>
  <c r="I460" i="22"/>
  <c r="K460" i="22" s="1"/>
  <c r="K458" i="22"/>
  <c r="P456" i="22"/>
  <c r="L456" i="22"/>
  <c r="P455" i="22"/>
  <c r="O455" i="22"/>
  <c r="P454" i="22"/>
  <c r="N454" i="22"/>
  <c r="M454" i="22"/>
  <c r="P449" i="22"/>
  <c r="N449" i="22"/>
  <c r="L449" i="22"/>
  <c r="O449" i="22" s="1"/>
  <c r="P448" i="22"/>
  <c r="O448" i="22"/>
  <c r="M447" i="22"/>
  <c r="P447" i="22" s="1"/>
  <c r="M446" i="22"/>
  <c r="P446" i="22" s="1"/>
  <c r="N445" i="22"/>
  <c r="M445" i="22"/>
  <c r="L445" i="22"/>
  <c r="O445" i="22" s="1"/>
  <c r="J443" i="22"/>
  <c r="J442" i="22"/>
  <c r="I441" i="22"/>
  <c r="K441" i="22" s="1"/>
  <c r="I440" i="22"/>
  <c r="K440" i="22" s="1"/>
  <c r="I439" i="22"/>
  <c r="K439" i="22" s="1"/>
  <c r="I438" i="22"/>
  <c r="I437" i="22"/>
  <c r="K437" i="22" s="1"/>
  <c r="I435" i="22"/>
  <c r="J434" i="22"/>
  <c r="P431" i="22"/>
  <c r="L431" i="22"/>
  <c r="P430" i="22"/>
  <c r="O430" i="22"/>
  <c r="N429" i="22"/>
  <c r="M429" i="22"/>
  <c r="P429" i="22" s="1"/>
  <c r="P424" i="22"/>
  <c r="N424" i="22"/>
  <c r="L424" i="22"/>
  <c r="L422" i="22" s="1"/>
  <c r="P423" i="22"/>
  <c r="O423" i="22"/>
  <c r="M422" i="22"/>
  <c r="P422" i="22" s="1"/>
  <c r="N421" i="22"/>
  <c r="N419" i="22" s="1"/>
  <c r="M421" i="22"/>
  <c r="P421" i="22" s="1"/>
  <c r="N420" i="22"/>
  <c r="M420" i="22"/>
  <c r="L420" i="22"/>
  <c r="O420" i="22" s="1"/>
  <c r="J418" i="22"/>
  <c r="K413" i="22"/>
  <c r="K412" i="22"/>
  <c r="N410" i="22"/>
  <c r="N408" i="22" s="1"/>
  <c r="M410" i="22"/>
  <c r="P410" i="22" s="1"/>
  <c r="L410" i="22"/>
  <c r="O410" i="22" s="1"/>
  <c r="P409" i="22"/>
  <c r="O409" i="22"/>
  <c r="N407" i="22"/>
  <c r="N405" i="22" s="1"/>
  <c r="M407" i="22"/>
  <c r="P407" i="22" s="1"/>
  <c r="L407" i="22"/>
  <c r="P406" i="22"/>
  <c r="O406" i="22"/>
  <c r="P403" i="22"/>
  <c r="N403" i="22"/>
  <c r="M403" i="22"/>
  <c r="L403" i="22"/>
  <c r="O403" i="22" s="1"/>
  <c r="J401" i="22"/>
  <c r="I401" i="22"/>
  <c r="K401" i="22" s="1"/>
  <c r="K400" i="22"/>
  <c r="K399" i="22"/>
  <c r="N397" i="22"/>
  <c r="N395" i="22" s="1"/>
  <c r="M397" i="22"/>
  <c r="L397" i="22"/>
  <c r="O397" i="22" s="1"/>
  <c r="P396" i="22"/>
  <c r="O396" i="22"/>
  <c r="N394" i="22"/>
  <c r="N392" i="22" s="1"/>
  <c r="M394" i="22"/>
  <c r="L394" i="22"/>
  <c r="O394" i="22" s="1"/>
  <c r="P393" i="22"/>
  <c r="O393" i="22"/>
  <c r="O390" i="22"/>
  <c r="N390" i="22"/>
  <c r="M390" i="22"/>
  <c r="L390" i="22"/>
  <c r="K388" i="22"/>
  <c r="J388" i="22"/>
  <c r="I388" i="22"/>
  <c r="J385" i="22"/>
  <c r="I385" i="22"/>
  <c r="K385" i="22" s="1"/>
  <c r="K382" i="22"/>
  <c r="J382" i="22"/>
  <c r="J381" i="22"/>
  <c r="J374" i="22" s="1"/>
  <c r="I381" i="22"/>
  <c r="K381" i="22" s="1"/>
  <c r="K380" i="22"/>
  <c r="J380" i="22"/>
  <c r="J379" i="22"/>
  <c r="I379" i="22"/>
  <c r="K379" i="22" s="1"/>
  <c r="J378" i="22"/>
  <c r="I378" i="22"/>
  <c r="K378" i="22" s="1"/>
  <c r="K377" i="22"/>
  <c r="J377" i="22"/>
  <c r="I374" i="22"/>
  <c r="K374" i="22" s="1"/>
  <c r="K373" i="22"/>
  <c r="J373" i="22"/>
  <c r="J372" i="22"/>
  <c r="J365" i="22" s="1"/>
  <c r="I372" i="22"/>
  <c r="K372" i="22" s="1"/>
  <c r="K371" i="22"/>
  <c r="J371" i="22"/>
  <c r="J370" i="22"/>
  <c r="I370" i="22"/>
  <c r="K370" i="22" s="1"/>
  <c r="J369" i="22"/>
  <c r="I369" i="22"/>
  <c r="K369" i="22" s="1"/>
  <c r="K368" i="22"/>
  <c r="J368" i="22"/>
  <c r="I365" i="22"/>
  <c r="K363" i="22"/>
  <c r="J363" i="22"/>
  <c r="J362" i="22"/>
  <c r="J355" i="22" s="1"/>
  <c r="I362" i="22"/>
  <c r="K362" i="22" s="1"/>
  <c r="K361" i="22"/>
  <c r="J361" i="22"/>
  <c r="J360" i="22"/>
  <c r="I360" i="22"/>
  <c r="K360" i="22" s="1"/>
  <c r="J359" i="22"/>
  <c r="I359" i="22"/>
  <c r="K359" i="22" s="1"/>
  <c r="K358" i="22"/>
  <c r="J358" i="22"/>
  <c r="I355" i="22"/>
  <c r="K355" i="22" s="1"/>
  <c r="N353" i="22"/>
  <c r="N351" i="22" s="1"/>
  <c r="M353" i="22"/>
  <c r="L353" i="22"/>
  <c r="L351" i="22" s="1"/>
  <c r="P352" i="22"/>
  <c r="O352" i="22"/>
  <c r="N350" i="22"/>
  <c r="N348" i="22" s="1"/>
  <c r="M350" i="22"/>
  <c r="L350" i="22"/>
  <c r="L348" i="22" s="1"/>
  <c r="P349" i="22"/>
  <c r="O349" i="22"/>
  <c r="P346" i="22"/>
  <c r="O346" i="22"/>
  <c r="N346" i="22"/>
  <c r="M346" i="22"/>
  <c r="L346" i="22"/>
  <c r="J343" i="22"/>
  <c r="J342" i="22"/>
  <c r="J341" i="22"/>
  <c r="J340" i="22"/>
  <c r="I340" i="22"/>
  <c r="J338" i="22"/>
  <c r="I338" i="22"/>
  <c r="N336" i="22"/>
  <c r="N334" i="22" s="1"/>
  <c r="M336" i="22"/>
  <c r="L336" i="22"/>
  <c r="O336" i="22" s="1"/>
  <c r="P335" i="22"/>
  <c r="O335" i="22"/>
  <c r="N333" i="22"/>
  <c r="N331" i="22" s="1"/>
  <c r="M333" i="22"/>
  <c r="M331" i="22" s="1"/>
  <c r="L333" i="22"/>
  <c r="L331" i="22" s="1"/>
  <c r="P332" i="22"/>
  <c r="O332" i="22"/>
  <c r="P329" i="22"/>
  <c r="N329" i="22"/>
  <c r="M329" i="22"/>
  <c r="L329" i="22"/>
  <c r="I327" i="22"/>
  <c r="I325" i="22"/>
  <c r="I314" i="22" s="1"/>
  <c r="K314" i="22" s="1"/>
  <c r="N323" i="22"/>
  <c r="N321" i="22" s="1"/>
  <c r="M323" i="22"/>
  <c r="M321" i="22" s="1"/>
  <c r="P321" i="22" s="1"/>
  <c r="L323" i="22"/>
  <c r="P322" i="22"/>
  <c r="O322" i="22"/>
  <c r="N320" i="22"/>
  <c r="N318" i="22" s="1"/>
  <c r="M320" i="22"/>
  <c r="P320" i="22" s="1"/>
  <c r="L320" i="22"/>
  <c r="L318" i="22" s="1"/>
  <c r="O318" i="22" s="1"/>
  <c r="P319" i="22"/>
  <c r="O319" i="22"/>
  <c r="N316" i="22"/>
  <c r="M316" i="22"/>
  <c r="P316" i="22" s="1"/>
  <c r="L316" i="22"/>
  <c r="J314" i="22"/>
  <c r="I312" i="22"/>
  <c r="K312" i="22" s="1"/>
  <c r="I311" i="22"/>
  <c r="K311" i="22" s="1"/>
  <c r="I310" i="22"/>
  <c r="K310" i="22" s="1"/>
  <c r="I309" i="22"/>
  <c r="N306" i="22"/>
  <c r="N304" i="22" s="1"/>
  <c r="M306" i="22"/>
  <c r="P306" i="22" s="1"/>
  <c r="L306" i="22"/>
  <c r="O306" i="22" s="1"/>
  <c r="P305" i="22"/>
  <c r="O305" i="22"/>
  <c r="N303" i="22"/>
  <c r="N301" i="22" s="1"/>
  <c r="M303" i="22"/>
  <c r="P303" i="22" s="1"/>
  <c r="L303" i="22"/>
  <c r="L301" i="22" s="1"/>
  <c r="O301" i="22" s="1"/>
  <c r="P302" i="22"/>
  <c r="O302" i="22"/>
  <c r="P299" i="22"/>
  <c r="N299" i="22"/>
  <c r="M299" i="22"/>
  <c r="L299" i="22"/>
  <c r="J297" i="22"/>
  <c r="I294" i="22"/>
  <c r="K294" i="22" s="1"/>
  <c r="I293" i="22"/>
  <c r="K293" i="22" s="1"/>
  <c r="I291" i="22"/>
  <c r="K291" i="22" s="1"/>
  <c r="I290" i="22"/>
  <c r="K290" i="22" s="1"/>
  <c r="I288" i="22"/>
  <c r="J288" i="22" s="1"/>
  <c r="J275" i="22" s="1"/>
  <c r="I287" i="22"/>
  <c r="K287" i="22" s="1"/>
  <c r="N285" i="22"/>
  <c r="M285" i="22"/>
  <c r="L285" i="22"/>
  <c r="L283" i="22" s="1"/>
  <c r="O283" i="22" s="1"/>
  <c r="P284" i="22"/>
  <c r="O284" i="22"/>
  <c r="N282" i="22"/>
  <c r="N280" i="22" s="1"/>
  <c r="M282" i="22"/>
  <c r="L282" i="22"/>
  <c r="P281" i="22"/>
  <c r="O281" i="22"/>
  <c r="O278" i="22"/>
  <c r="N278" i="22"/>
  <c r="M278" i="22"/>
  <c r="P278" i="22" s="1"/>
  <c r="L278" i="22"/>
  <c r="J276" i="22"/>
  <c r="I271" i="22"/>
  <c r="I260" i="22" s="1"/>
  <c r="K260" i="22" s="1"/>
  <c r="N269" i="22"/>
  <c r="N267" i="22" s="1"/>
  <c r="M269" i="22"/>
  <c r="L269" i="22"/>
  <c r="O269" i="22" s="1"/>
  <c r="P268" i="22"/>
  <c r="O268" i="22"/>
  <c r="N266" i="22"/>
  <c r="N264" i="22" s="1"/>
  <c r="M266" i="22"/>
  <c r="M264" i="22" s="1"/>
  <c r="L266" i="22"/>
  <c r="P265" i="22"/>
  <c r="O265" i="22"/>
  <c r="P262" i="22"/>
  <c r="N262" i="22"/>
  <c r="M262" i="22"/>
  <c r="L262" i="22"/>
  <c r="O262" i="22" s="1"/>
  <c r="J260" i="22"/>
  <c r="K258" i="22"/>
  <c r="K257" i="22"/>
  <c r="I255" i="22"/>
  <c r="L253" i="22"/>
  <c r="L252" i="22"/>
  <c r="L251" i="22"/>
  <c r="L250" i="22"/>
  <c r="P249" i="22"/>
  <c r="N249" i="22"/>
  <c r="J248" i="22"/>
  <c r="J226" i="22" s="1"/>
  <c r="J180" i="22" s="1"/>
  <c r="K247" i="22"/>
  <c r="K246" i="22"/>
  <c r="I244" i="22"/>
  <c r="K244" i="22" s="1"/>
  <c r="L242" i="22"/>
  <c r="L241" i="22"/>
  <c r="L240" i="22"/>
  <c r="L239" i="22"/>
  <c r="P238" i="22"/>
  <c r="N238" i="22"/>
  <c r="J237" i="22"/>
  <c r="J236" i="22"/>
  <c r="I236" i="22"/>
  <c r="K236" i="22" s="1"/>
  <c r="K235" i="22"/>
  <c r="J235" i="22"/>
  <c r="I235" i="22"/>
  <c r="J233" i="22"/>
  <c r="N231" i="22"/>
  <c r="N230" i="22"/>
  <c r="N229" i="22"/>
  <c r="N228" i="22"/>
  <c r="N227" i="22"/>
  <c r="I225" i="22"/>
  <c r="K225" i="22" s="1"/>
  <c r="I224" i="22"/>
  <c r="K224" i="22" s="1"/>
  <c r="I223" i="22"/>
  <c r="K223" i="22" s="1"/>
  <c r="L220" i="22"/>
  <c r="L219" i="22"/>
  <c r="L218" i="22"/>
  <c r="P217" i="22"/>
  <c r="N217" i="22"/>
  <c r="J216" i="22"/>
  <c r="I215" i="22"/>
  <c r="I208" i="22" s="1"/>
  <c r="K208" i="22" s="1"/>
  <c r="I214" i="22"/>
  <c r="K214" i="22" s="1"/>
  <c r="L212" i="22"/>
  <c r="L211" i="22"/>
  <c r="L210" i="22"/>
  <c r="P209" i="22"/>
  <c r="N209" i="22"/>
  <c r="J208" i="22"/>
  <c r="I204" i="22"/>
  <c r="L202" i="22"/>
  <c r="L201" i="22"/>
  <c r="L200" i="22"/>
  <c r="L199" i="22"/>
  <c r="P198" i="22"/>
  <c r="N198" i="22"/>
  <c r="J197" i="22"/>
  <c r="J194" i="22"/>
  <c r="I193" i="22"/>
  <c r="K193" i="22" s="1"/>
  <c r="P191" i="22"/>
  <c r="L191" i="22"/>
  <c r="O191" i="22" s="1"/>
  <c r="J190" i="22"/>
  <c r="N189" i="22"/>
  <c r="N187" i="22" s="1"/>
  <c r="M189" i="22"/>
  <c r="M187" i="22" s="1"/>
  <c r="P187" i="22" s="1"/>
  <c r="L189" i="22"/>
  <c r="O189" i="22" s="1"/>
  <c r="P188" i="22"/>
  <c r="O188" i="22"/>
  <c r="N186" i="22"/>
  <c r="N184" i="22" s="1"/>
  <c r="M186" i="22"/>
  <c r="L186" i="22"/>
  <c r="L184" i="22" s="1"/>
  <c r="P185" i="22"/>
  <c r="O185" i="22"/>
  <c r="P182" i="22"/>
  <c r="N182" i="22"/>
  <c r="M182" i="22"/>
  <c r="L182" i="22"/>
  <c r="K180" i="22"/>
  <c r="J177" i="22"/>
  <c r="I176" i="22"/>
  <c r="I174" i="22" s="1"/>
  <c r="I164" i="22" s="1"/>
  <c r="K164" i="22" s="1"/>
  <c r="J174" i="22"/>
  <c r="N173" i="22"/>
  <c r="N171" i="22" s="1"/>
  <c r="M173" i="22"/>
  <c r="P173" i="22" s="1"/>
  <c r="L173" i="22"/>
  <c r="L171" i="22" s="1"/>
  <c r="O171" i="22" s="1"/>
  <c r="P172" i="22"/>
  <c r="O172" i="22"/>
  <c r="N170" i="22"/>
  <c r="N168" i="22" s="1"/>
  <c r="M170" i="22"/>
  <c r="L170" i="22"/>
  <c r="L168" i="22" s="1"/>
  <c r="O168" i="22" s="1"/>
  <c r="P169" i="22"/>
  <c r="O169" i="22"/>
  <c r="O166" i="22"/>
  <c r="N166" i="22"/>
  <c r="M166" i="22"/>
  <c r="P166" i="22" s="1"/>
  <c r="L166" i="22"/>
  <c r="I159" i="22"/>
  <c r="I148" i="22" s="1"/>
  <c r="K148" i="22" s="1"/>
  <c r="N157" i="22"/>
  <c r="N155" i="22" s="1"/>
  <c r="M157" i="22"/>
  <c r="M155" i="22" s="1"/>
  <c r="P155" i="22" s="1"/>
  <c r="L157" i="22"/>
  <c r="P156" i="22"/>
  <c r="O156" i="22"/>
  <c r="N154" i="22"/>
  <c r="M154" i="22"/>
  <c r="P154" i="22" s="1"/>
  <c r="L154" i="22"/>
  <c r="O154" i="22" s="1"/>
  <c r="P153" i="22"/>
  <c r="O153" i="22"/>
  <c r="O150" i="22"/>
  <c r="N150" i="22"/>
  <c r="M150" i="22"/>
  <c r="P150" i="22" s="1"/>
  <c r="L150" i="22"/>
  <c r="J148" i="22"/>
  <c r="I146" i="22"/>
  <c r="K146" i="22" s="1"/>
  <c r="I145" i="22"/>
  <c r="I144" i="22"/>
  <c r="K144" i="22" s="1"/>
  <c r="N140" i="22"/>
  <c r="N138" i="22" s="1"/>
  <c r="M140" i="22"/>
  <c r="L140" i="22"/>
  <c r="O140" i="22" s="1"/>
  <c r="P139" i="22"/>
  <c r="O139" i="22"/>
  <c r="N137" i="22"/>
  <c r="N135" i="22" s="1"/>
  <c r="M137" i="22"/>
  <c r="M135" i="22" s="1"/>
  <c r="P135" i="22" s="1"/>
  <c r="L137" i="22"/>
  <c r="L135" i="22" s="1"/>
  <c r="O135" i="22" s="1"/>
  <c r="P136" i="22"/>
  <c r="O136" i="22"/>
  <c r="N133" i="22"/>
  <c r="M133" i="22"/>
  <c r="L133" i="22"/>
  <c r="J130" i="22"/>
  <c r="N127" i="22"/>
  <c r="N125" i="22" s="1"/>
  <c r="M127" i="22"/>
  <c r="M125" i="22" s="1"/>
  <c r="P125" i="22" s="1"/>
  <c r="L127" i="22"/>
  <c r="O127" i="22" s="1"/>
  <c r="P126" i="22"/>
  <c r="O126" i="22"/>
  <c r="N124" i="22"/>
  <c r="M124" i="22"/>
  <c r="M122" i="22" s="1"/>
  <c r="P122" i="22" s="1"/>
  <c r="L124" i="22"/>
  <c r="O124" i="22" s="1"/>
  <c r="P123" i="22"/>
  <c r="O123" i="22"/>
  <c r="P120" i="22"/>
  <c r="O120" i="22"/>
  <c r="N120" i="22"/>
  <c r="M120" i="22"/>
  <c r="L120" i="22"/>
  <c r="I116" i="22"/>
  <c r="I115" i="22"/>
  <c r="K115" i="22" s="1"/>
  <c r="I114" i="22"/>
  <c r="K114" i="22" s="1"/>
  <c r="I113" i="22"/>
  <c r="K113" i="22" s="1"/>
  <c r="J112" i="22"/>
  <c r="J111" i="22"/>
  <c r="I111" i="22"/>
  <c r="K111" i="22" s="1"/>
  <c r="I110" i="22"/>
  <c r="K110" i="22" s="1"/>
  <c r="I109" i="22"/>
  <c r="K109" i="22" s="1"/>
  <c r="I107" i="22"/>
  <c r="K107" i="22" s="1"/>
  <c r="I106" i="22"/>
  <c r="K106" i="22" s="1"/>
  <c r="I104" i="22"/>
  <c r="K104" i="22" s="1"/>
  <c r="I103" i="22"/>
  <c r="K103" i="22" s="1"/>
  <c r="I102" i="22"/>
  <c r="K102" i="22" s="1"/>
  <c r="J100" i="22"/>
  <c r="I100" i="22"/>
  <c r="J99" i="22"/>
  <c r="I99" i="22"/>
  <c r="K99" i="22" s="1"/>
  <c r="J98" i="22"/>
  <c r="J86" i="22" s="1"/>
  <c r="I98" i="22"/>
  <c r="I86" i="22" s="1"/>
  <c r="K86" i="22" s="1"/>
  <c r="N96" i="22"/>
  <c r="N94" i="22" s="1"/>
  <c r="M96" i="22"/>
  <c r="P96" i="22" s="1"/>
  <c r="L96" i="22"/>
  <c r="P95" i="22"/>
  <c r="O95" i="22"/>
  <c r="N93" i="22"/>
  <c r="N91" i="22" s="1"/>
  <c r="M93" i="22"/>
  <c r="L93" i="22"/>
  <c r="L91" i="22" s="1"/>
  <c r="P92" i="22"/>
  <c r="O92" i="22"/>
  <c r="P89" i="22"/>
  <c r="O89" i="22"/>
  <c r="N89" i="22"/>
  <c r="M89" i="22"/>
  <c r="L89" i="22"/>
  <c r="J87" i="22"/>
  <c r="I84" i="22"/>
  <c r="K84" i="22" s="1"/>
  <c r="I83" i="22"/>
  <c r="K83" i="22" s="1"/>
  <c r="I82" i="22"/>
  <c r="K82" i="22" s="1"/>
  <c r="I81" i="22"/>
  <c r="K81" i="22" s="1"/>
  <c r="I80" i="22"/>
  <c r="K80" i="22" s="1"/>
  <c r="I79" i="22"/>
  <c r="K79" i="22" s="1"/>
  <c r="I78" i="22"/>
  <c r="J77" i="22"/>
  <c r="J65" i="22" s="1"/>
  <c r="J76" i="22"/>
  <c r="J64" i="22" s="1"/>
  <c r="N74" i="22"/>
  <c r="N72" i="22" s="1"/>
  <c r="M74" i="22"/>
  <c r="P74" i="22" s="1"/>
  <c r="L74" i="22"/>
  <c r="P73" i="22"/>
  <c r="O73" i="22"/>
  <c r="N71" i="22"/>
  <c r="N69" i="22" s="1"/>
  <c r="M71" i="22"/>
  <c r="M69" i="22" s="1"/>
  <c r="P69" i="22" s="1"/>
  <c r="L71" i="22"/>
  <c r="L69" i="22" s="1"/>
  <c r="O69" i="22" s="1"/>
  <c r="P70" i="22"/>
  <c r="O70" i="22"/>
  <c r="O67" i="22"/>
  <c r="N67" i="22"/>
  <c r="M67" i="22"/>
  <c r="P67" i="22" s="1"/>
  <c r="L67" i="22"/>
  <c r="N61" i="22"/>
  <c r="N59" i="22" s="1"/>
  <c r="M61" i="22"/>
  <c r="P61" i="22" s="1"/>
  <c r="L61" i="22"/>
  <c r="O61" i="22" s="1"/>
  <c r="P60" i="22"/>
  <c r="O60" i="22"/>
  <c r="N58" i="22"/>
  <c r="N56" i="22" s="1"/>
  <c r="M58" i="22"/>
  <c r="M56" i="22" s="1"/>
  <c r="L58" i="22"/>
  <c r="P57" i="22"/>
  <c r="O57" i="22"/>
  <c r="P54" i="22"/>
  <c r="N54" i="22"/>
  <c r="M54" i="22"/>
  <c r="L54" i="22"/>
  <c r="O54" i="22" s="1"/>
  <c r="N49" i="22"/>
  <c r="N47" i="22" s="1"/>
  <c r="M49" i="22"/>
  <c r="M47" i="22" s="1"/>
  <c r="P47" i="22" s="1"/>
  <c r="L49" i="22"/>
  <c r="O49" i="22" s="1"/>
  <c r="P48" i="22"/>
  <c r="O48" i="22"/>
  <c r="N46" i="22"/>
  <c r="M46" i="22"/>
  <c r="M44" i="22" s="1"/>
  <c r="L46" i="22"/>
  <c r="L44" i="22" s="1"/>
  <c r="P45" i="22"/>
  <c r="O45" i="22"/>
  <c r="P42" i="22"/>
  <c r="O42" i="22"/>
  <c r="N42" i="22"/>
  <c r="M42" i="22"/>
  <c r="L42" i="22"/>
  <c r="P36" i="22"/>
  <c r="N36" i="22"/>
  <c r="N34" i="22" s="1"/>
  <c r="M36" i="22"/>
  <c r="P35" i="22"/>
  <c r="N35" i="22"/>
  <c r="M35" i="22"/>
  <c r="M34" i="22" s="1"/>
  <c r="L35" i="22"/>
  <c r="O35" i="22" s="1"/>
  <c r="P34" i="22"/>
  <c r="N33" i="22"/>
  <c r="M33" i="22"/>
  <c r="P33" i="22" s="1"/>
  <c r="O32" i="22"/>
  <c r="N32" i="22"/>
  <c r="N29" i="22" s="1"/>
  <c r="M32" i="22"/>
  <c r="P32" i="22" s="1"/>
  <c r="L32" i="22"/>
  <c r="M31" i="22"/>
  <c r="P31" i="22" s="1"/>
  <c r="N30" i="22"/>
  <c r="M30" i="22"/>
  <c r="P30" i="22" s="1"/>
  <c r="P29" i="22"/>
  <c r="M29" i="22"/>
  <c r="L29" i="22"/>
  <c r="O29" i="22" s="1"/>
  <c r="N28" i="22"/>
  <c r="O25" i="22"/>
  <c r="N25" i="22"/>
  <c r="M25" i="22"/>
  <c r="P25" i="22" s="1"/>
  <c r="L25" i="22"/>
  <c r="P22" i="22"/>
  <c r="N22" i="22"/>
  <c r="M22" i="22"/>
  <c r="L22" i="22"/>
  <c r="M19" i="22"/>
  <c r="P19" i="22" s="1"/>
  <c r="N15" i="22"/>
  <c r="L15" i="22"/>
  <c r="M12" i="22"/>
  <c r="P12" i="22" s="1"/>
  <c r="J828" i="2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P817" i="21"/>
  <c r="O817" i="21"/>
  <c r="P816" i="21"/>
  <c r="O816" i="21"/>
  <c r="P815" i="21"/>
  <c r="O815" i="21"/>
  <c r="N815" i="21"/>
  <c r="M815" i="21"/>
  <c r="L815" i="21"/>
  <c r="P810" i="21"/>
  <c r="O810" i="21"/>
  <c r="N810" i="21"/>
  <c r="P809" i="21"/>
  <c r="O809" i="21"/>
  <c r="M808" i="21"/>
  <c r="P808" i="21" s="1"/>
  <c r="L808" i="21"/>
  <c r="O808" i="21" s="1"/>
  <c r="M807" i="21"/>
  <c r="P807" i="21" s="1"/>
  <c r="L807" i="21"/>
  <c r="O807" i="21" s="1"/>
  <c r="P806" i="21"/>
  <c r="N806" i="21"/>
  <c r="M806" i="21"/>
  <c r="M805" i="21" s="1"/>
  <c r="P805" i="21" s="1"/>
  <c r="L806" i="21"/>
  <c r="O806" i="21" s="1"/>
  <c r="K804" i="21"/>
  <c r="J804" i="21"/>
  <c r="K802" i="21"/>
  <c r="J801" i="21"/>
  <c r="J800" i="21"/>
  <c r="J785" i="21" s="1"/>
  <c r="I800" i="21"/>
  <c r="K800" i="21" s="1"/>
  <c r="P798" i="21"/>
  <c r="O798" i="21"/>
  <c r="P797" i="21"/>
  <c r="O797" i="21"/>
  <c r="O796" i="21"/>
  <c r="N796" i="21"/>
  <c r="M796" i="21"/>
  <c r="P796" i="21" s="1"/>
  <c r="L796" i="21"/>
  <c r="P791" i="21"/>
  <c r="N791" i="21"/>
  <c r="N788" i="21" s="1"/>
  <c r="N786" i="21" s="1"/>
  <c r="L791" i="21"/>
  <c r="P790" i="21"/>
  <c r="O790" i="21"/>
  <c r="N789" i="21"/>
  <c r="M789" i="21"/>
  <c r="P789" i="21" s="1"/>
  <c r="M788" i="21"/>
  <c r="P788" i="21" s="1"/>
  <c r="P787" i="21"/>
  <c r="N787" i="21"/>
  <c r="M787" i="21"/>
  <c r="M786" i="21" s="1"/>
  <c r="L787" i="21"/>
  <c r="O787" i="21" s="1"/>
  <c r="P786" i="21"/>
  <c r="P782" i="21"/>
  <c r="O782" i="21"/>
  <c r="P781" i="21"/>
  <c r="O781" i="21"/>
  <c r="P780" i="21"/>
  <c r="O780" i="21"/>
  <c r="N780" i="21"/>
  <c r="M780" i="21"/>
  <c r="L780" i="21"/>
  <c r="P775" i="21"/>
  <c r="O775" i="21"/>
  <c r="N775" i="21"/>
  <c r="N772" i="21" s="1"/>
  <c r="P774" i="21"/>
  <c r="O774" i="21"/>
  <c r="O773" i="21"/>
  <c r="N773" i="21"/>
  <c r="M773" i="21"/>
  <c r="P773" i="21" s="1"/>
  <c r="L773" i="21"/>
  <c r="M772" i="21"/>
  <c r="P772" i="21" s="1"/>
  <c r="L772" i="21"/>
  <c r="O772" i="21" s="1"/>
  <c r="N771" i="21"/>
  <c r="N770" i="21" s="1"/>
  <c r="M771" i="21"/>
  <c r="P771" i="21" s="1"/>
  <c r="L771" i="21"/>
  <c r="K769" i="21"/>
  <c r="J769" i="21"/>
  <c r="P766" i="21"/>
  <c r="O766" i="21"/>
  <c r="P765" i="21"/>
  <c r="O765" i="21"/>
  <c r="P764" i="21"/>
  <c r="O764" i="21"/>
  <c r="N764" i="21"/>
  <c r="M764" i="21"/>
  <c r="L764" i="21"/>
  <c r="P759" i="21"/>
  <c r="O759" i="21"/>
  <c r="N759" i="21"/>
  <c r="P758" i="21"/>
  <c r="O758" i="21"/>
  <c r="O757" i="21"/>
  <c r="M757" i="21"/>
  <c r="P757" i="21" s="1"/>
  <c r="L757" i="21"/>
  <c r="M756" i="21"/>
  <c r="P756" i="21" s="1"/>
  <c r="L756" i="21"/>
  <c r="O756" i="21" s="1"/>
  <c r="N755" i="21"/>
  <c r="M755" i="21"/>
  <c r="P755" i="21" s="1"/>
  <c r="L755" i="21"/>
  <c r="K753" i="21"/>
  <c r="J753" i="21"/>
  <c r="P749" i="21"/>
  <c r="O749" i="21"/>
  <c r="P748" i="21"/>
  <c r="O748" i="21"/>
  <c r="P747" i="21"/>
  <c r="O747" i="21"/>
  <c r="N747" i="21"/>
  <c r="M747" i="21"/>
  <c r="L747" i="21"/>
  <c r="P742" i="21"/>
  <c r="O742" i="21"/>
  <c r="N742" i="21"/>
  <c r="N739" i="21" s="1"/>
  <c r="P741" i="21"/>
  <c r="O741" i="21"/>
  <c r="O740" i="21"/>
  <c r="N740" i="21"/>
  <c r="M740" i="21"/>
  <c r="P740" i="21" s="1"/>
  <c r="L740" i="21"/>
  <c r="M739" i="21"/>
  <c r="P739" i="21" s="1"/>
  <c r="L739" i="21"/>
  <c r="O739" i="21" s="1"/>
  <c r="N738" i="21"/>
  <c r="N737" i="21" s="1"/>
  <c r="M738" i="21"/>
  <c r="P738" i="21" s="1"/>
  <c r="L738" i="21"/>
  <c r="K736" i="21"/>
  <c r="J736" i="21"/>
  <c r="J729" i="21"/>
  <c r="I729" i="21"/>
  <c r="J728" i="21"/>
  <c r="I728" i="21"/>
  <c r="J727" i="21"/>
  <c r="J726" i="21"/>
  <c r="I726" i="21"/>
  <c r="J725" i="21"/>
  <c r="I725" i="21"/>
  <c r="J724" i="21"/>
  <c r="J723" i="21"/>
  <c r="I723" i="21"/>
  <c r="I722" i="21"/>
  <c r="I721" i="21"/>
  <c r="J720" i="21"/>
  <c r="I720" i="21"/>
  <c r="J719" i="21"/>
  <c r="J718" i="21"/>
  <c r="J708" i="21"/>
  <c r="I708" i="21"/>
  <c r="I707" i="21"/>
  <c r="I704" i="21"/>
  <c r="J701" i="21"/>
  <c r="I701" i="21"/>
  <c r="J700" i="21"/>
  <c r="I700" i="21"/>
  <c r="K700" i="21" s="1"/>
  <c r="J699" i="21"/>
  <c r="I699" i="21"/>
  <c r="K699" i="21" s="1"/>
  <c r="P697" i="21"/>
  <c r="O697" i="21"/>
  <c r="P696" i="21"/>
  <c r="O696" i="21"/>
  <c r="P695" i="21"/>
  <c r="O695" i="21"/>
  <c r="N695" i="21"/>
  <c r="M695" i="21"/>
  <c r="L695" i="21"/>
  <c r="P690" i="21"/>
  <c r="N690" i="21"/>
  <c r="L690" i="21"/>
  <c r="L688" i="21" s="1"/>
  <c r="M688" i="21"/>
  <c r="P688" i="21" s="1"/>
  <c r="M687" i="21"/>
  <c r="P687" i="21" s="1"/>
  <c r="P686" i="21"/>
  <c r="N686" i="21"/>
  <c r="M686" i="21"/>
  <c r="M685" i="21" s="1"/>
  <c r="L686" i="21"/>
  <c r="O686" i="21" s="1"/>
  <c r="P685" i="21"/>
  <c r="J679" i="21"/>
  <c r="J678" i="21"/>
  <c r="I678" i="21"/>
  <c r="K678" i="21" s="1"/>
  <c r="J675" i="21"/>
  <c r="I671" i="21"/>
  <c r="K671" i="21" s="1"/>
  <c r="I670" i="21"/>
  <c r="K670" i="21" s="1"/>
  <c r="J669" i="21"/>
  <c r="J654" i="21" s="1"/>
  <c r="I669" i="21"/>
  <c r="K672" i="21" s="1"/>
  <c r="P667" i="21"/>
  <c r="O667" i="21"/>
  <c r="P666" i="21"/>
  <c r="O666" i="21"/>
  <c r="P665" i="21"/>
  <c r="N665" i="21"/>
  <c r="M665" i="21"/>
  <c r="L665" i="21"/>
  <c r="O665" i="21" s="1"/>
  <c r="P660" i="21"/>
  <c r="N660" i="21"/>
  <c r="L660" i="21"/>
  <c r="O660" i="21" s="1"/>
  <c r="P659" i="21"/>
  <c r="O659" i="21"/>
  <c r="P658" i="21"/>
  <c r="N658" i="21"/>
  <c r="M658" i="21"/>
  <c r="L658" i="21"/>
  <c r="O658" i="21" s="1"/>
  <c r="P657" i="21"/>
  <c r="N657" i="21"/>
  <c r="M657" i="21"/>
  <c r="O656" i="21"/>
  <c r="N656" i="21"/>
  <c r="N655" i="21" s="1"/>
  <c r="M656" i="21"/>
  <c r="L656" i="21"/>
  <c r="K652" i="21"/>
  <c r="J652" i="21"/>
  <c r="J651" i="21"/>
  <c r="J628" i="21" s="1"/>
  <c r="I651" i="21"/>
  <c r="I628" i="21" s="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L639" i="21" s="1"/>
  <c r="O639" i="21" s="1"/>
  <c r="P640" i="21"/>
  <c r="O640" i="21"/>
  <c r="N639" i="21"/>
  <c r="M639" i="21"/>
  <c r="P639" i="21" s="1"/>
  <c r="P634" i="21"/>
  <c r="N634" i="21"/>
  <c r="N631" i="21" s="1"/>
  <c r="N629" i="21" s="1"/>
  <c r="L634" i="21"/>
  <c r="O634" i="21" s="1"/>
  <c r="P633" i="21"/>
  <c r="O633" i="21"/>
  <c r="N632" i="21"/>
  <c r="M632" i="21"/>
  <c r="P632" i="21" s="1"/>
  <c r="P631" i="21"/>
  <c r="M631" i="21"/>
  <c r="P630" i="21"/>
  <c r="O630" i="21"/>
  <c r="N630" i="21"/>
  <c r="M630" i="21"/>
  <c r="L630" i="21"/>
  <c r="P629" i="21"/>
  <c r="M629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594" i="21" s="1"/>
  <c r="J603" i="21"/>
  <c r="J593" i="21" s="1"/>
  <c r="J596" i="21"/>
  <c r="J595" i="21"/>
  <c r="I594" i="21"/>
  <c r="I593" i="21"/>
  <c r="I592" i="21" s="1"/>
  <c r="J592" i="21"/>
  <c r="J583" i="21"/>
  <c r="J582" i="21"/>
  <c r="J577" i="21"/>
  <c r="I577" i="21"/>
  <c r="K577" i="21" s="1"/>
  <c r="J576" i="21"/>
  <c r="I576" i="21"/>
  <c r="K576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J559" i="21"/>
  <c r="J543" i="21" s="1"/>
  <c r="P557" i="21"/>
  <c r="L557" i="21"/>
  <c r="L555" i="21" s="1"/>
  <c r="O555" i="21" s="1"/>
  <c r="P556" i="21"/>
  <c r="O556" i="21"/>
  <c r="P555" i="21"/>
  <c r="N555" i="21"/>
  <c r="M555" i="21"/>
  <c r="P549" i="21"/>
  <c r="N549" i="21"/>
  <c r="L549" i="21"/>
  <c r="P548" i="21"/>
  <c r="O548" i="21"/>
  <c r="P547" i="21"/>
  <c r="N547" i="21"/>
  <c r="M547" i="21"/>
  <c r="N546" i="21"/>
  <c r="M546" i="21"/>
  <c r="P546" i="21" s="1"/>
  <c r="N545" i="21"/>
  <c r="M545" i="21"/>
  <c r="L545" i="21"/>
  <c r="O545" i="21" s="1"/>
  <c r="I542" i="21"/>
  <c r="K542" i="21" s="1"/>
  <c r="I541" i="21"/>
  <c r="K541" i="21" s="1"/>
  <c r="I540" i="21"/>
  <c r="K540" i="21" s="1"/>
  <c r="I539" i="21"/>
  <c r="K539" i="21" s="1"/>
  <c r="I538" i="21"/>
  <c r="I537" i="21"/>
  <c r="K537" i="21" s="1"/>
  <c r="P535" i="21"/>
  <c r="L535" i="21"/>
  <c r="P534" i="21"/>
  <c r="O534" i="21"/>
  <c r="N533" i="21"/>
  <c r="M533" i="21"/>
  <c r="P533" i="21" s="1"/>
  <c r="P528" i="21"/>
  <c r="N528" i="21"/>
  <c r="N525" i="21" s="1"/>
  <c r="N523" i="21" s="1"/>
  <c r="L528" i="21"/>
  <c r="O528" i="21" s="1"/>
  <c r="P527" i="21"/>
  <c r="O527" i="21"/>
  <c r="N526" i="21"/>
  <c r="M526" i="21"/>
  <c r="P526" i="21" s="1"/>
  <c r="M525" i="21"/>
  <c r="P525" i="21" s="1"/>
  <c r="P524" i="21"/>
  <c r="N524" i="21"/>
  <c r="M524" i="21"/>
  <c r="L524" i="21"/>
  <c r="O524" i="21" s="1"/>
  <c r="K517" i="21"/>
  <c r="J517" i="21"/>
  <c r="J501" i="21" s="1"/>
  <c r="K516" i="21"/>
  <c r="P514" i="21"/>
  <c r="O514" i="21"/>
  <c r="P513" i="21"/>
  <c r="O513" i="21"/>
  <c r="N512" i="21"/>
  <c r="M512" i="21"/>
  <c r="P512" i="21" s="1"/>
  <c r="L512" i="21"/>
  <c r="O512" i="21" s="1"/>
  <c r="P507" i="21"/>
  <c r="O507" i="21"/>
  <c r="N507" i="21"/>
  <c r="P506" i="21"/>
  <c r="O506" i="21"/>
  <c r="P505" i="21"/>
  <c r="N505" i="21"/>
  <c r="M505" i="21"/>
  <c r="L505" i="21"/>
  <c r="O505" i="21" s="1"/>
  <c r="P504" i="21"/>
  <c r="O504" i="21"/>
  <c r="N504" i="21"/>
  <c r="M504" i="21"/>
  <c r="L504" i="21"/>
  <c r="P503" i="21"/>
  <c r="O503" i="21"/>
  <c r="N503" i="21"/>
  <c r="M503" i="21"/>
  <c r="L503" i="21"/>
  <c r="O502" i="21"/>
  <c r="N502" i="21"/>
  <c r="M502" i="21"/>
  <c r="P502" i="21" s="1"/>
  <c r="L502" i="21"/>
  <c r="K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O479" i="21" s="1"/>
  <c r="P478" i="21"/>
  <c r="O478" i="21"/>
  <c r="N477" i="21"/>
  <c r="M477" i="21"/>
  <c r="P477" i="21" s="1"/>
  <c r="P472" i="21"/>
  <c r="N472" i="21"/>
  <c r="L472" i="21"/>
  <c r="O472" i="21" s="1"/>
  <c r="P471" i="21"/>
  <c r="O471" i="21"/>
  <c r="P470" i="21"/>
  <c r="N470" i="21"/>
  <c r="M470" i="21"/>
  <c r="L470" i="21"/>
  <c r="O470" i="21" s="1"/>
  <c r="P469" i="21"/>
  <c r="N469" i="21"/>
  <c r="M469" i="21"/>
  <c r="P468" i="21"/>
  <c r="O468" i="21"/>
  <c r="N468" i="21"/>
  <c r="N467" i="21" s="1"/>
  <c r="M468" i="21"/>
  <c r="L468" i="21"/>
  <c r="M467" i="21"/>
  <c r="P467" i="21" s="1"/>
  <c r="J466" i="21"/>
  <c r="I466" i="21"/>
  <c r="K466" i="21" s="1"/>
  <c r="J465" i="21"/>
  <c r="I465" i="21"/>
  <c r="I464" i="21"/>
  <c r="I463" i="21"/>
  <c r="I462" i="21"/>
  <c r="K462" i="21" s="1"/>
  <c r="I460" i="21"/>
  <c r="I442" i="21" s="1"/>
  <c r="K442" i="21" s="1"/>
  <c r="K458" i="21"/>
  <c r="P456" i="21"/>
  <c r="L456" i="21"/>
  <c r="L454" i="21" s="1"/>
  <c r="O454" i="21" s="1"/>
  <c r="P455" i="21"/>
  <c r="O455" i="21"/>
  <c r="N454" i="21"/>
  <c r="M454" i="21"/>
  <c r="P454" i="21" s="1"/>
  <c r="P449" i="21"/>
  <c r="N449" i="21"/>
  <c r="L449" i="21"/>
  <c r="P448" i="21"/>
  <c r="O448" i="21"/>
  <c r="N447" i="21"/>
  <c r="M447" i="21"/>
  <c r="P447" i="21" s="1"/>
  <c r="P446" i="21"/>
  <c r="N446" i="21"/>
  <c r="M446" i="21"/>
  <c r="P445" i="21"/>
  <c r="O445" i="21"/>
  <c r="N445" i="21"/>
  <c r="M445" i="21"/>
  <c r="L445" i="21"/>
  <c r="P444" i="21"/>
  <c r="N444" i="21"/>
  <c r="M444" i="21"/>
  <c r="J443" i="21"/>
  <c r="J442" i="21"/>
  <c r="I441" i="21"/>
  <c r="K441" i="21" s="1"/>
  <c r="I440" i="21"/>
  <c r="I439" i="21"/>
  <c r="K439" i="21" s="1"/>
  <c r="I438" i="21"/>
  <c r="K438" i="21" s="1"/>
  <c r="I437" i="21"/>
  <c r="I435" i="21"/>
  <c r="I433" i="21" s="1"/>
  <c r="I417" i="21" s="1"/>
  <c r="J434" i="21"/>
  <c r="P431" i="21"/>
  <c r="L431" i="21"/>
  <c r="O431" i="21" s="1"/>
  <c r="P430" i="21"/>
  <c r="O430" i="21"/>
  <c r="N429" i="21"/>
  <c r="M429" i="21"/>
  <c r="P429" i="21" s="1"/>
  <c r="P424" i="21"/>
  <c r="N424" i="21"/>
  <c r="L424" i="21"/>
  <c r="O424" i="21" s="1"/>
  <c r="P423" i="21"/>
  <c r="O423" i="21"/>
  <c r="N422" i="21"/>
  <c r="M422" i="21"/>
  <c r="P422" i="21" s="1"/>
  <c r="P421" i="21"/>
  <c r="N421" i="21"/>
  <c r="M421" i="21"/>
  <c r="P420" i="21"/>
  <c r="O420" i="21"/>
  <c r="N420" i="21"/>
  <c r="M420" i="21"/>
  <c r="L420" i="21"/>
  <c r="P419" i="21"/>
  <c r="N419" i="21"/>
  <c r="M419" i="21"/>
  <c r="J418" i="21"/>
  <c r="K413" i="21"/>
  <c r="K412" i="21"/>
  <c r="N410" i="21"/>
  <c r="N408" i="21" s="1"/>
  <c r="M410" i="21"/>
  <c r="L410" i="21"/>
  <c r="P409" i="21"/>
  <c r="O409" i="21"/>
  <c r="N407" i="21"/>
  <c r="M407" i="21"/>
  <c r="L407" i="21"/>
  <c r="P406" i="21"/>
  <c r="O406" i="21"/>
  <c r="O403" i="21"/>
  <c r="N403" i="21"/>
  <c r="M403" i="21"/>
  <c r="P403" i="21" s="1"/>
  <c r="L403" i="21"/>
  <c r="K401" i="21"/>
  <c r="J401" i="21"/>
  <c r="I401" i="21"/>
  <c r="K400" i="21"/>
  <c r="K399" i="21"/>
  <c r="N397" i="21"/>
  <c r="N395" i="21" s="1"/>
  <c r="M397" i="21"/>
  <c r="L397" i="21"/>
  <c r="P396" i="21"/>
  <c r="O396" i="21"/>
  <c r="N394" i="21"/>
  <c r="N392" i="21" s="1"/>
  <c r="M394" i="21"/>
  <c r="L394" i="21"/>
  <c r="P393" i="21"/>
  <c r="O393" i="21"/>
  <c r="P390" i="21"/>
  <c r="O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L353" i="21"/>
  <c r="P352" i="21"/>
  <c r="O352" i="21"/>
  <c r="N350" i="21"/>
  <c r="N348" i="21" s="1"/>
  <c r="M350" i="21"/>
  <c r="L350" i="21"/>
  <c r="P349" i="21"/>
  <c r="O349" i="21"/>
  <c r="P346" i="21"/>
  <c r="O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P336" i="21" s="1"/>
  <c r="L336" i="21"/>
  <c r="O336" i="21" s="1"/>
  <c r="P335" i="21"/>
  <c r="O335" i="21"/>
  <c r="N333" i="21"/>
  <c r="N331" i="21" s="1"/>
  <c r="M333" i="21"/>
  <c r="L333" i="21"/>
  <c r="P332" i="21"/>
  <c r="O332" i="21"/>
  <c r="P329" i="21"/>
  <c r="O329" i="21"/>
  <c r="N329" i="21"/>
  <c r="M329" i="21"/>
  <c r="L329" i="21"/>
  <c r="I327" i="21"/>
  <c r="I325" i="21"/>
  <c r="I314" i="21" s="1"/>
  <c r="K314" i="21" s="1"/>
  <c r="N323" i="21"/>
  <c r="N321" i="21" s="1"/>
  <c r="M323" i="21"/>
  <c r="P323" i="21" s="1"/>
  <c r="L323" i="21"/>
  <c r="O323" i="21" s="1"/>
  <c r="P322" i="21"/>
  <c r="O322" i="21"/>
  <c r="N320" i="21"/>
  <c r="M320" i="21"/>
  <c r="L320" i="21"/>
  <c r="O320" i="21" s="1"/>
  <c r="P319" i="21"/>
  <c r="O319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K309" i="21" s="1"/>
  <c r="N306" i="21"/>
  <c r="N304" i="21" s="1"/>
  <c r="M306" i="21"/>
  <c r="L306" i="21"/>
  <c r="L304" i="21" s="1"/>
  <c r="O304" i="21" s="1"/>
  <c r="P305" i="21"/>
  <c r="O305" i="21"/>
  <c r="N303" i="21"/>
  <c r="M303" i="21"/>
  <c r="M301" i="21" s="1"/>
  <c r="L303" i="21"/>
  <c r="P302" i="21"/>
  <c r="O302" i="21"/>
  <c r="P299" i="21"/>
  <c r="N299" i="21"/>
  <c r="M299" i="2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I275" i="21" s="1"/>
  <c r="I287" i="21"/>
  <c r="K287" i="21" s="1"/>
  <c r="N285" i="21"/>
  <c r="M285" i="21"/>
  <c r="P285" i="21" s="1"/>
  <c r="L285" i="21"/>
  <c r="P284" i="21"/>
  <c r="O284" i="21"/>
  <c r="N282" i="21"/>
  <c r="N280" i="21" s="1"/>
  <c r="M282" i="21"/>
  <c r="M280" i="21" s="1"/>
  <c r="L282" i="21"/>
  <c r="P281" i="21"/>
  <c r="O281" i="21"/>
  <c r="N278" i="21"/>
  <c r="M278" i="21"/>
  <c r="L278" i="21"/>
  <c r="O278" i="21" s="1"/>
  <c r="J276" i="21"/>
  <c r="I271" i="21"/>
  <c r="K271" i="21" s="1"/>
  <c r="N269" i="21"/>
  <c r="N267" i="21" s="1"/>
  <c r="M269" i="21"/>
  <c r="P269" i="21" s="1"/>
  <c r="L269" i="21"/>
  <c r="O269" i="21" s="1"/>
  <c r="P268" i="21"/>
  <c r="O268" i="21"/>
  <c r="N266" i="21"/>
  <c r="M266" i="21"/>
  <c r="P266" i="21" s="1"/>
  <c r="L266" i="21"/>
  <c r="L264" i="21" s="1"/>
  <c r="P265" i="21"/>
  <c r="O265" i="21"/>
  <c r="P262" i="21"/>
  <c r="N262" i="21"/>
  <c r="M262" i="21"/>
  <c r="L262" i="21"/>
  <c r="J260" i="21"/>
  <c r="K258" i="21"/>
  <c r="K257" i="21"/>
  <c r="I255" i="21"/>
  <c r="L253" i="21"/>
  <c r="L252" i="21"/>
  <c r="L251" i="21"/>
  <c r="L250" i="21"/>
  <c r="P249" i="21"/>
  <c r="N249" i="21"/>
  <c r="J248" i="21"/>
  <c r="K247" i="21"/>
  <c r="K246" i="21"/>
  <c r="I244" i="21"/>
  <c r="I237" i="21" s="1"/>
  <c r="L242" i="21"/>
  <c r="L241" i="21"/>
  <c r="L240" i="21"/>
  <c r="L239" i="21"/>
  <c r="P238" i="21"/>
  <c r="N238" i="21"/>
  <c r="J237" i="21"/>
  <c r="J226" i="21" s="1"/>
  <c r="J180" i="21" s="1"/>
  <c r="K236" i="21"/>
  <c r="J236" i="21"/>
  <c r="I236" i="21"/>
  <c r="J235" i="21"/>
  <c r="I235" i="21"/>
  <c r="K235" i="21" s="1"/>
  <c r="J233" i="21"/>
  <c r="N231" i="21"/>
  <c r="N230" i="21"/>
  <c r="N229" i="21"/>
  <c r="N228" i="21"/>
  <c r="N227" i="21"/>
  <c r="I225" i="21"/>
  <c r="K225" i="21" s="1"/>
  <c r="I224" i="21"/>
  <c r="I216" i="21" s="1"/>
  <c r="K216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I197" i="21" s="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M187" i="21" s="1"/>
  <c r="P187" i="21" s="1"/>
  <c r="L189" i="21"/>
  <c r="O189" i="21" s="1"/>
  <c r="P188" i="21"/>
  <c r="O188" i="21"/>
  <c r="N186" i="21"/>
  <c r="N184" i="21" s="1"/>
  <c r="M186" i="21"/>
  <c r="M184" i="21" s="1"/>
  <c r="L186" i="21"/>
  <c r="P185" i="21"/>
  <c r="O185" i="21"/>
  <c r="P182" i="21"/>
  <c r="O182" i="21"/>
  <c r="N182" i="21"/>
  <c r="M182" i="21"/>
  <c r="L182" i="21"/>
  <c r="K180" i="21"/>
  <c r="J177" i="21"/>
  <c r="J164" i="21" s="1"/>
  <c r="I176" i="21"/>
  <c r="I174" i="21" s="1"/>
  <c r="J174" i="21"/>
  <c r="N173" i="21"/>
  <c r="N171" i="21" s="1"/>
  <c r="M173" i="21"/>
  <c r="M171" i="21" s="1"/>
  <c r="P171" i="21" s="1"/>
  <c r="L173" i="21"/>
  <c r="L171" i="21" s="1"/>
  <c r="O171" i="21" s="1"/>
  <c r="P172" i="21"/>
  <c r="O172" i="21"/>
  <c r="N170" i="21"/>
  <c r="N168" i="21" s="1"/>
  <c r="M170" i="21"/>
  <c r="M168" i="21" s="1"/>
  <c r="L170" i="21"/>
  <c r="L168" i="21" s="1"/>
  <c r="P169" i="21"/>
  <c r="O169" i="21"/>
  <c r="O166" i="21"/>
  <c r="N166" i="21"/>
  <c r="M166" i="21"/>
  <c r="P166" i="21" s="1"/>
  <c r="L166" i="21"/>
  <c r="I159" i="21"/>
  <c r="K159" i="21" s="1"/>
  <c r="N157" i="21"/>
  <c r="N155" i="21" s="1"/>
  <c r="M157" i="21"/>
  <c r="P157" i="21" s="1"/>
  <c r="L157" i="21"/>
  <c r="O157" i="21" s="1"/>
  <c r="P156" i="21"/>
  <c r="O156" i="21"/>
  <c r="N154" i="21"/>
  <c r="N152" i="21" s="1"/>
  <c r="M154" i="21"/>
  <c r="L154" i="21"/>
  <c r="P153" i="21"/>
  <c r="O153" i="21"/>
  <c r="P150" i="21"/>
  <c r="O150" i="21"/>
  <c r="N150" i="21"/>
  <c r="M150" i="21"/>
  <c r="L150" i="21"/>
  <c r="J148" i="21"/>
  <c r="I146" i="21"/>
  <c r="I130" i="21" s="1"/>
  <c r="K130" i="21" s="1"/>
  <c r="I145" i="21"/>
  <c r="K145" i="21" s="1"/>
  <c r="I144" i="21"/>
  <c r="N140" i="21"/>
  <c r="N138" i="21" s="1"/>
  <c r="M140" i="21"/>
  <c r="L140" i="21"/>
  <c r="L138" i="21" s="1"/>
  <c r="O138" i="21" s="1"/>
  <c r="P139" i="21"/>
  <c r="O139" i="21"/>
  <c r="N137" i="21"/>
  <c r="N135" i="21" s="1"/>
  <c r="M137" i="21"/>
  <c r="L137" i="21"/>
  <c r="L135" i="21" s="1"/>
  <c r="O135" i="21" s="1"/>
  <c r="P136" i="21"/>
  <c r="O136" i="21"/>
  <c r="N133" i="21"/>
  <c r="M133" i="21"/>
  <c r="P133" i="21" s="1"/>
  <c r="L133" i="21"/>
  <c r="O133" i="21" s="1"/>
  <c r="J130" i="21"/>
  <c r="N127" i="21"/>
  <c r="N125" i="21" s="1"/>
  <c r="M127" i="21"/>
  <c r="P127" i="21" s="1"/>
  <c r="L127" i="21"/>
  <c r="O127" i="21" s="1"/>
  <c r="P126" i="21"/>
  <c r="O126" i="21"/>
  <c r="N124" i="21"/>
  <c r="N122" i="21" s="1"/>
  <c r="M124" i="21"/>
  <c r="P124" i="21" s="1"/>
  <c r="L124" i="21"/>
  <c r="O124" i="21" s="1"/>
  <c r="P123" i="21"/>
  <c r="O123" i="21"/>
  <c r="P120" i="21"/>
  <c r="O120" i="21"/>
  <c r="N120" i="21"/>
  <c r="M120" i="21"/>
  <c r="L120" i="21"/>
  <c r="I116" i="21"/>
  <c r="K116" i="21" s="1"/>
  <c r="I115" i="2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J87" i="21" s="1"/>
  <c r="I99" i="21"/>
  <c r="I87" i="21" s="1"/>
  <c r="K87" i="21" s="1"/>
  <c r="J98" i="21"/>
  <c r="I98" i="21"/>
  <c r="K98" i="21" s="1"/>
  <c r="N96" i="21"/>
  <c r="N94" i="21" s="1"/>
  <c r="M96" i="21"/>
  <c r="M94" i="21" s="1"/>
  <c r="P94" i="21" s="1"/>
  <c r="L96" i="21"/>
  <c r="L94" i="21" s="1"/>
  <c r="O94" i="21" s="1"/>
  <c r="P95" i="21"/>
  <c r="O95" i="21"/>
  <c r="N93" i="21"/>
  <c r="N91" i="21" s="1"/>
  <c r="M93" i="21"/>
  <c r="M91" i="21" s="1"/>
  <c r="L93" i="21"/>
  <c r="L91" i="21" s="1"/>
  <c r="P92" i="21"/>
  <c r="O92" i="21"/>
  <c r="O89" i="21"/>
  <c r="N89" i="21"/>
  <c r="M89" i="21"/>
  <c r="P89" i="21" s="1"/>
  <c r="L89" i="21"/>
  <c r="J86" i="21"/>
  <c r="I84" i="21"/>
  <c r="K84" i="21" s="1"/>
  <c r="I83" i="21"/>
  <c r="K83" i="21" s="1"/>
  <c r="I82" i="21"/>
  <c r="K82" i="21" s="1"/>
  <c r="I81" i="21"/>
  <c r="K81" i="21" s="1"/>
  <c r="I80" i="21"/>
  <c r="I79" i="21"/>
  <c r="I78" i="21"/>
  <c r="K78" i="21" s="1"/>
  <c r="J77" i="21"/>
  <c r="J65" i="21" s="1"/>
  <c r="J76" i="21"/>
  <c r="N74" i="21"/>
  <c r="N72" i="21" s="1"/>
  <c r="M74" i="21"/>
  <c r="L74" i="21"/>
  <c r="L72" i="21" s="1"/>
  <c r="O72" i="21" s="1"/>
  <c r="P73" i="21"/>
  <c r="O73" i="21"/>
  <c r="N71" i="21"/>
  <c r="M71" i="21"/>
  <c r="L71" i="21"/>
  <c r="L69" i="21" s="1"/>
  <c r="P70" i="21"/>
  <c r="O70" i="21"/>
  <c r="N67" i="21"/>
  <c r="M67" i="21"/>
  <c r="P67" i="21" s="1"/>
  <c r="L67" i="21"/>
  <c r="O67" i="21" s="1"/>
  <c r="J64" i="21"/>
  <c r="N61" i="21"/>
  <c r="N59" i="21" s="1"/>
  <c r="M61" i="21"/>
  <c r="L61" i="21"/>
  <c r="P60" i="21"/>
  <c r="O60" i="21"/>
  <c r="N58" i="21"/>
  <c r="N56" i="21" s="1"/>
  <c r="M58" i="21"/>
  <c r="L58" i="21"/>
  <c r="P57" i="21"/>
  <c r="O57" i="21"/>
  <c r="P54" i="21"/>
  <c r="O54" i="21"/>
  <c r="N54" i="21"/>
  <c r="M54" i="21"/>
  <c r="L54" i="21"/>
  <c r="N49" i="21"/>
  <c r="M49" i="21"/>
  <c r="L49" i="21"/>
  <c r="L47" i="21" s="1"/>
  <c r="O47" i="21" s="1"/>
  <c r="P48" i="21"/>
  <c r="O48" i="21"/>
  <c r="N46" i="21"/>
  <c r="N44" i="21" s="1"/>
  <c r="M46" i="21"/>
  <c r="L46" i="21"/>
  <c r="L44" i="21" s="1"/>
  <c r="P45" i="21"/>
  <c r="O45" i="21"/>
  <c r="N42" i="21"/>
  <c r="M42" i="21"/>
  <c r="P42" i="21" s="1"/>
  <c r="L42" i="21"/>
  <c r="O42" i="21" s="1"/>
  <c r="P36" i="21"/>
  <c r="N36" i="21"/>
  <c r="M36" i="21"/>
  <c r="P35" i="21"/>
  <c r="O35" i="21"/>
  <c r="N35" i="21"/>
  <c r="M35" i="21"/>
  <c r="L35" i="21"/>
  <c r="N34" i="21"/>
  <c r="M34" i="21"/>
  <c r="P34" i="21" s="1"/>
  <c r="N33" i="21"/>
  <c r="M33" i="21"/>
  <c r="N32" i="21"/>
  <c r="M32" i="21"/>
  <c r="L32" i="21"/>
  <c r="N29" i="21"/>
  <c r="N25" i="21"/>
  <c r="M25" i="21"/>
  <c r="L25" i="21"/>
  <c r="P22" i="21"/>
  <c r="O22" i="21"/>
  <c r="N22" i="21"/>
  <c r="M22" i="21"/>
  <c r="L22" i="21"/>
  <c r="P19" i="21"/>
  <c r="M19" i="21"/>
  <c r="L19" i="21"/>
  <c r="O19" i="21" s="1"/>
  <c r="P15" i="21"/>
  <c r="N15" i="21"/>
  <c r="M15" i="21"/>
  <c r="L12" i="21"/>
  <c r="O12" i="21" s="1"/>
  <c r="J828" i="20"/>
  <c r="I828" i="20"/>
  <c r="J827" i="20"/>
  <c r="I827" i="20"/>
  <c r="J826" i="20"/>
  <c r="I826" i="20"/>
  <c r="J825" i="20"/>
  <c r="I825" i="20"/>
  <c r="J824" i="20"/>
  <c r="I824" i="20"/>
  <c r="K824" i="20" s="1"/>
  <c r="J823" i="20"/>
  <c r="I823" i="20"/>
  <c r="K823" i="20" s="1"/>
  <c r="J822" i="20"/>
  <c r="I822" i="20"/>
  <c r="J821" i="20"/>
  <c r="I821" i="20"/>
  <c r="P817" i="20"/>
  <c r="O817" i="20"/>
  <c r="P816" i="20"/>
  <c r="O816" i="20"/>
  <c r="P815" i="20"/>
  <c r="O815" i="20"/>
  <c r="N815" i="20"/>
  <c r="M815" i="20"/>
  <c r="L815" i="20"/>
  <c r="P810" i="20"/>
  <c r="O810" i="20"/>
  <c r="N810" i="20"/>
  <c r="N807" i="20" s="1"/>
  <c r="P809" i="20"/>
  <c r="O809" i="20"/>
  <c r="M808" i="20"/>
  <c r="P808" i="20" s="1"/>
  <c r="L808" i="20"/>
  <c r="O808" i="20" s="1"/>
  <c r="M807" i="20"/>
  <c r="L807" i="20"/>
  <c r="O807" i="20" s="1"/>
  <c r="P806" i="20"/>
  <c r="N806" i="20"/>
  <c r="M806" i="20"/>
  <c r="L806" i="20"/>
  <c r="K804" i="20"/>
  <c r="J804" i="20"/>
  <c r="K802" i="20"/>
  <c r="J801" i="20"/>
  <c r="J800" i="20"/>
  <c r="J785" i="20" s="1"/>
  <c r="I800" i="20"/>
  <c r="P798" i="20"/>
  <c r="O798" i="20"/>
  <c r="P797" i="20"/>
  <c r="O797" i="20"/>
  <c r="O796" i="20"/>
  <c r="N796" i="20"/>
  <c r="M796" i="20"/>
  <c r="P796" i="20" s="1"/>
  <c r="L796" i="20"/>
  <c r="P791" i="20"/>
  <c r="N791" i="20"/>
  <c r="N788" i="20" s="1"/>
  <c r="L791" i="20"/>
  <c r="P790" i="20"/>
  <c r="O790" i="20"/>
  <c r="N789" i="20"/>
  <c r="M789" i="20"/>
  <c r="P789" i="20" s="1"/>
  <c r="M788" i="20"/>
  <c r="L788" i="20"/>
  <c r="O788" i="20" s="1"/>
  <c r="P787" i="20"/>
  <c r="N787" i="20"/>
  <c r="N786" i="20" s="1"/>
  <c r="M787" i="20"/>
  <c r="L787" i="20"/>
  <c r="P782" i="20"/>
  <c r="O782" i="20"/>
  <c r="P781" i="20"/>
  <c r="O781" i="20"/>
  <c r="P780" i="20"/>
  <c r="O780" i="20"/>
  <c r="N780" i="20"/>
  <c r="M780" i="20"/>
  <c r="L780" i="20"/>
  <c r="P775" i="20"/>
  <c r="O775" i="20"/>
  <c r="N775" i="20"/>
  <c r="P774" i="20"/>
  <c r="O774" i="20"/>
  <c r="O773" i="20"/>
  <c r="N773" i="20"/>
  <c r="M773" i="20"/>
  <c r="P773" i="20" s="1"/>
  <c r="L773" i="20"/>
  <c r="N772" i="20"/>
  <c r="N770" i="20" s="1"/>
  <c r="M772" i="20"/>
  <c r="P772" i="20" s="1"/>
  <c r="L772" i="20"/>
  <c r="O772" i="20" s="1"/>
  <c r="N771" i="20"/>
  <c r="M771" i="20"/>
  <c r="L771" i="20"/>
  <c r="O771" i="20" s="1"/>
  <c r="K769" i="20"/>
  <c r="J769" i="20"/>
  <c r="P766" i="20"/>
  <c r="O766" i="20"/>
  <c r="P765" i="20"/>
  <c r="O765" i="20"/>
  <c r="P764" i="20"/>
  <c r="O764" i="20"/>
  <c r="N764" i="20"/>
  <c r="M764" i="20"/>
  <c r="L764" i="20"/>
  <c r="P759" i="20"/>
  <c r="O759" i="20"/>
  <c r="N759" i="20"/>
  <c r="P758" i="20"/>
  <c r="O758" i="20"/>
  <c r="O757" i="20"/>
  <c r="N757" i="20"/>
  <c r="M757" i="20"/>
  <c r="P757" i="20" s="1"/>
  <c r="L757" i="20"/>
  <c r="N756" i="20"/>
  <c r="N754" i="20" s="1"/>
  <c r="M756" i="20"/>
  <c r="P756" i="20" s="1"/>
  <c r="L756" i="20"/>
  <c r="O756" i="20" s="1"/>
  <c r="N755" i="20"/>
  <c r="M755" i="20"/>
  <c r="L755" i="20"/>
  <c r="O755" i="20" s="1"/>
  <c r="K753" i="20"/>
  <c r="J753" i="20"/>
  <c r="P749" i="20"/>
  <c r="O749" i="20"/>
  <c r="P748" i="20"/>
  <c r="O748" i="20"/>
  <c r="P747" i="20"/>
  <c r="O747" i="20"/>
  <c r="N747" i="20"/>
  <c r="M747" i="20"/>
  <c r="L747" i="20"/>
  <c r="P742" i="20"/>
  <c r="O742" i="20"/>
  <c r="N742" i="20"/>
  <c r="P741" i="20"/>
  <c r="O741" i="20"/>
  <c r="O740" i="20"/>
  <c r="N740" i="20"/>
  <c r="M740" i="20"/>
  <c r="P740" i="20" s="1"/>
  <c r="L740" i="20"/>
  <c r="N739" i="20"/>
  <c r="N737" i="20" s="1"/>
  <c r="M739" i="20"/>
  <c r="P739" i="20" s="1"/>
  <c r="L739" i="20"/>
  <c r="O739" i="20" s="1"/>
  <c r="N738" i="20"/>
  <c r="M738" i="20"/>
  <c r="L738" i="20"/>
  <c r="O738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K699" i="20" s="1"/>
  <c r="P697" i="20"/>
  <c r="O697" i="20"/>
  <c r="P696" i="20"/>
  <c r="O696" i="20"/>
  <c r="P695" i="20"/>
  <c r="O695" i="20"/>
  <c r="N695" i="20"/>
  <c r="M695" i="20"/>
  <c r="L695" i="20"/>
  <c r="P690" i="20"/>
  <c r="N690" i="20"/>
  <c r="N687" i="20" s="1"/>
  <c r="L690" i="20"/>
  <c r="L688" i="20" s="1"/>
  <c r="O688" i="20" s="1"/>
  <c r="N688" i="20"/>
  <c r="M688" i="20"/>
  <c r="P688" i="20" s="1"/>
  <c r="M687" i="20"/>
  <c r="P686" i="20"/>
  <c r="N686" i="20"/>
  <c r="M686" i="20"/>
  <c r="L686" i="20"/>
  <c r="J679" i="20"/>
  <c r="J678" i="20" s="1"/>
  <c r="I678" i="20"/>
  <c r="K678" i="20" s="1"/>
  <c r="J675" i="20"/>
  <c r="I671" i="20"/>
  <c r="K671" i="20" s="1"/>
  <c r="I670" i="20"/>
  <c r="K670" i="20" s="1"/>
  <c r="J669" i="20"/>
  <c r="J654" i="20" s="1"/>
  <c r="I669" i="20"/>
  <c r="K673" i="20" s="1"/>
  <c r="P667" i="20"/>
  <c r="O667" i="20"/>
  <c r="P666" i="20"/>
  <c r="O666" i="20"/>
  <c r="P665" i="20"/>
  <c r="N665" i="20"/>
  <c r="M665" i="20"/>
  <c r="L665" i="20"/>
  <c r="O665" i="20" s="1"/>
  <c r="P660" i="20"/>
  <c r="N660" i="20"/>
  <c r="L660" i="20"/>
  <c r="P659" i="20"/>
  <c r="O659" i="20"/>
  <c r="P658" i="20"/>
  <c r="N658" i="20"/>
  <c r="M658" i="20"/>
  <c r="P657" i="20"/>
  <c r="N657" i="20"/>
  <c r="M657" i="20"/>
  <c r="O656" i="20"/>
  <c r="N656" i="20"/>
  <c r="M656" i="20"/>
  <c r="P656" i="20" s="1"/>
  <c r="L656" i="20"/>
  <c r="N655" i="20"/>
  <c r="M655" i="20"/>
  <c r="P655" i="20" s="1"/>
  <c r="K652" i="20"/>
  <c r="J652" i="20"/>
  <c r="J651" i="20"/>
  <c r="J628" i="20" s="1"/>
  <c r="I651" i="20"/>
  <c r="K651" i="20" s="1"/>
  <c r="K650" i="20"/>
  <c r="J650" i="20"/>
  <c r="J649" i="20"/>
  <c r="I649" i="20"/>
  <c r="K649" i="20" s="1"/>
  <c r="K648" i="20"/>
  <c r="J648" i="20"/>
  <c r="J647" i="20"/>
  <c r="I647" i="20"/>
  <c r="K647" i="20" s="1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N639" i="20"/>
  <c r="M639" i="20"/>
  <c r="P639" i="20" s="1"/>
  <c r="P634" i="20"/>
  <c r="N634" i="20"/>
  <c r="L634" i="20"/>
  <c r="O634" i="20" s="1"/>
  <c r="P633" i="20"/>
  <c r="O633" i="20"/>
  <c r="N632" i="20"/>
  <c r="M632" i="20"/>
  <c r="P632" i="20" s="1"/>
  <c r="P631" i="20"/>
  <c r="N631" i="20"/>
  <c r="M631" i="20"/>
  <c r="P630" i="20"/>
  <c r="O630" i="20"/>
  <c r="N630" i="20"/>
  <c r="M630" i="20"/>
  <c r="M629" i="20" s="1"/>
  <c r="P629" i="20" s="1"/>
  <c r="L630" i="20"/>
  <c r="N629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5" i="20"/>
  <c r="J594" i="20"/>
  <c r="I594" i="20"/>
  <c r="K594" i="20" s="1"/>
  <c r="J593" i="20"/>
  <c r="I593" i="20"/>
  <c r="J592" i="20"/>
  <c r="J583" i="20"/>
  <c r="J582" i="20"/>
  <c r="J576" i="20" s="1"/>
  <c r="J559" i="20" s="1"/>
  <c r="J543" i="20" s="1"/>
  <c r="J577" i="20"/>
  <c r="I577" i="20"/>
  <c r="K577" i="20" s="1"/>
  <c r="I576" i="20"/>
  <c r="K576" i="20" s="1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P557" i="20"/>
  <c r="L557" i="20"/>
  <c r="O557" i="20" s="1"/>
  <c r="P556" i="20"/>
  <c r="O556" i="20"/>
  <c r="P555" i="20"/>
  <c r="N555" i="20"/>
  <c r="M555" i="20"/>
  <c r="P549" i="20"/>
  <c r="N549" i="20"/>
  <c r="L549" i="20"/>
  <c r="P548" i="20"/>
  <c r="O548" i="20"/>
  <c r="P547" i="20"/>
  <c r="N547" i="20"/>
  <c r="M547" i="20"/>
  <c r="N546" i="20"/>
  <c r="M546" i="20"/>
  <c r="P546" i="20" s="1"/>
  <c r="N545" i="20"/>
  <c r="M545" i="20"/>
  <c r="P545" i="20" s="1"/>
  <c r="L545" i="20"/>
  <c r="O545" i="20" s="1"/>
  <c r="I542" i="20"/>
  <c r="K542" i="20" s="1"/>
  <c r="I541" i="20"/>
  <c r="K541" i="20" s="1"/>
  <c r="I540" i="20"/>
  <c r="K540" i="20" s="1"/>
  <c r="I539" i="20"/>
  <c r="K539" i="20" s="1"/>
  <c r="I538" i="20"/>
  <c r="I537" i="20"/>
  <c r="K537" i="20" s="1"/>
  <c r="P535" i="20"/>
  <c r="L535" i="20"/>
  <c r="L533" i="20" s="1"/>
  <c r="O533" i="20" s="1"/>
  <c r="P534" i="20"/>
  <c r="O534" i="20"/>
  <c r="P533" i="20"/>
  <c r="N533" i="20"/>
  <c r="M533" i="20"/>
  <c r="P528" i="20"/>
  <c r="N528" i="20"/>
  <c r="N525" i="20" s="1"/>
  <c r="L528" i="20"/>
  <c r="O528" i="20" s="1"/>
  <c r="P527" i="20"/>
  <c r="O527" i="20"/>
  <c r="N526" i="20"/>
  <c r="M526" i="20"/>
  <c r="P526" i="20" s="1"/>
  <c r="M525" i="20"/>
  <c r="P525" i="20" s="1"/>
  <c r="P524" i="20"/>
  <c r="N524" i="20"/>
  <c r="M524" i="20"/>
  <c r="M523" i="20" s="1"/>
  <c r="P523" i="20" s="1"/>
  <c r="L524" i="20"/>
  <c r="O524" i="20" s="1"/>
  <c r="K517" i="20"/>
  <c r="J517" i="20"/>
  <c r="K516" i="20"/>
  <c r="P514" i="20"/>
  <c r="O514" i="20"/>
  <c r="P513" i="20"/>
  <c r="O513" i="20"/>
  <c r="N512" i="20"/>
  <c r="M512" i="20"/>
  <c r="P512" i="20" s="1"/>
  <c r="L512" i="20"/>
  <c r="O512" i="20" s="1"/>
  <c r="P507" i="20"/>
  <c r="O507" i="20"/>
  <c r="N507" i="20"/>
  <c r="P506" i="20"/>
  <c r="O506" i="20"/>
  <c r="P505" i="20"/>
  <c r="M505" i="20"/>
  <c r="L505" i="20"/>
  <c r="O505" i="20" s="1"/>
  <c r="P504" i="20"/>
  <c r="O504" i="20"/>
  <c r="M504" i="20"/>
  <c r="L504" i="20"/>
  <c r="P503" i="20"/>
  <c r="O503" i="20"/>
  <c r="N503" i="20"/>
  <c r="M503" i="20"/>
  <c r="L503" i="20"/>
  <c r="P502" i="20"/>
  <c r="M502" i="20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N477" i="20"/>
  <c r="M477" i="20"/>
  <c r="P477" i="20" s="1"/>
  <c r="P472" i="20"/>
  <c r="N472" i="20"/>
  <c r="N469" i="20" s="1"/>
  <c r="L472" i="20"/>
  <c r="O472" i="20" s="1"/>
  <c r="P471" i="20"/>
  <c r="O471" i="20"/>
  <c r="N470" i="20"/>
  <c r="M470" i="20"/>
  <c r="P470" i="20" s="1"/>
  <c r="P469" i="20"/>
  <c r="M469" i="20"/>
  <c r="P468" i="20"/>
  <c r="O468" i="20"/>
  <c r="N468" i="20"/>
  <c r="M468" i="20"/>
  <c r="L468" i="20"/>
  <c r="P467" i="20"/>
  <c r="N467" i="20"/>
  <c r="M467" i="20"/>
  <c r="J466" i="20"/>
  <c r="I466" i="20"/>
  <c r="K466" i="20" s="1"/>
  <c r="J465" i="20"/>
  <c r="I465" i="20"/>
  <c r="K465" i="20" s="1"/>
  <c r="I464" i="20"/>
  <c r="I463" i="20"/>
  <c r="I462" i="20"/>
  <c r="I443" i="20" s="1"/>
  <c r="K443" i="20" s="1"/>
  <c r="I460" i="20"/>
  <c r="K458" i="20"/>
  <c r="P456" i="20"/>
  <c r="L456" i="20"/>
  <c r="P455" i="20"/>
  <c r="O455" i="20"/>
  <c r="N454" i="20"/>
  <c r="M454" i="20"/>
  <c r="P454" i="20" s="1"/>
  <c r="P449" i="20"/>
  <c r="N449" i="20"/>
  <c r="N446" i="20" s="1"/>
  <c r="N444" i="20" s="1"/>
  <c r="L449" i="20"/>
  <c r="O449" i="20" s="1"/>
  <c r="P448" i="20"/>
  <c r="O448" i="20"/>
  <c r="N447" i="20"/>
  <c r="M447" i="20"/>
  <c r="P447" i="20" s="1"/>
  <c r="M446" i="20"/>
  <c r="P446" i="20" s="1"/>
  <c r="P445" i="20"/>
  <c r="O445" i="20"/>
  <c r="N445" i="20"/>
  <c r="M445" i="20"/>
  <c r="L445" i="20"/>
  <c r="J443" i="20"/>
  <c r="J442" i="20"/>
  <c r="I441" i="20"/>
  <c r="K441" i="20" s="1"/>
  <c r="I440" i="20"/>
  <c r="I439" i="20"/>
  <c r="K439" i="20" s="1"/>
  <c r="I438" i="20"/>
  <c r="K438" i="20" s="1"/>
  <c r="I437" i="20"/>
  <c r="K437" i="20" s="1"/>
  <c r="I435" i="20"/>
  <c r="K435" i="20" s="1"/>
  <c r="J434" i="20"/>
  <c r="J418" i="20" s="1"/>
  <c r="P431" i="20"/>
  <c r="L431" i="20"/>
  <c r="O431" i="20" s="1"/>
  <c r="P430" i="20"/>
  <c r="O430" i="20"/>
  <c r="N429" i="20"/>
  <c r="M429" i="20"/>
  <c r="P429" i="20" s="1"/>
  <c r="P424" i="20"/>
  <c r="N424" i="20"/>
  <c r="N421" i="20" s="1"/>
  <c r="L424" i="20"/>
  <c r="O424" i="20" s="1"/>
  <c r="P423" i="20"/>
  <c r="O423" i="20"/>
  <c r="N422" i="20"/>
  <c r="M422" i="20"/>
  <c r="P422" i="20" s="1"/>
  <c r="P421" i="20"/>
  <c r="M421" i="20"/>
  <c r="P420" i="20"/>
  <c r="O420" i="20"/>
  <c r="N420" i="20"/>
  <c r="M420" i="20"/>
  <c r="M419" i="20" s="1"/>
  <c r="L420" i="20"/>
  <c r="P419" i="20"/>
  <c r="N419" i="20"/>
  <c r="K413" i="20"/>
  <c r="K412" i="20"/>
  <c r="N410" i="20"/>
  <c r="N408" i="20" s="1"/>
  <c r="M410" i="20"/>
  <c r="P410" i="20" s="1"/>
  <c r="L410" i="20"/>
  <c r="O410" i="20" s="1"/>
  <c r="P409" i="20"/>
  <c r="O409" i="20"/>
  <c r="N407" i="20"/>
  <c r="N405" i="20" s="1"/>
  <c r="M407" i="20"/>
  <c r="P407" i="20" s="1"/>
  <c r="L407" i="20"/>
  <c r="P406" i="20"/>
  <c r="O406" i="20"/>
  <c r="O403" i="20"/>
  <c r="N403" i="20"/>
  <c r="M403" i="20"/>
  <c r="P403" i="20" s="1"/>
  <c r="L403" i="20"/>
  <c r="J401" i="20"/>
  <c r="I401" i="20"/>
  <c r="K401" i="20" s="1"/>
  <c r="K400" i="20"/>
  <c r="K399" i="20"/>
  <c r="N397" i="20"/>
  <c r="N395" i="20" s="1"/>
  <c r="M397" i="20"/>
  <c r="L397" i="20"/>
  <c r="O397" i="20" s="1"/>
  <c r="P396" i="20"/>
  <c r="O396" i="20"/>
  <c r="N394" i="20"/>
  <c r="M394" i="20"/>
  <c r="P394" i="20" s="1"/>
  <c r="L394" i="20"/>
  <c r="O394" i="20" s="1"/>
  <c r="P393" i="20"/>
  <c r="O393" i="20"/>
  <c r="P390" i="20"/>
  <c r="N390" i="20"/>
  <c r="M390" i="20"/>
  <c r="L390" i="20"/>
  <c r="K388" i="20"/>
  <c r="J388" i="20"/>
  <c r="I388" i="20"/>
  <c r="J385" i="20"/>
  <c r="I385" i="20"/>
  <c r="K385" i="20" s="1"/>
  <c r="K382" i="20"/>
  <c r="J382" i="20"/>
  <c r="J381" i="20"/>
  <c r="J374" i="20" s="1"/>
  <c r="I381" i="20"/>
  <c r="K381" i="20" s="1"/>
  <c r="K380" i="20"/>
  <c r="J380" i="20"/>
  <c r="J379" i="20"/>
  <c r="I379" i="20"/>
  <c r="K379" i="20" s="1"/>
  <c r="J378" i="20"/>
  <c r="I378" i="20"/>
  <c r="K378" i="20" s="1"/>
  <c r="K377" i="20"/>
  <c r="J377" i="20"/>
  <c r="I374" i="20"/>
  <c r="K374" i="20" s="1"/>
  <c r="K373" i="20"/>
  <c r="J373" i="20"/>
  <c r="J372" i="20"/>
  <c r="J365" i="20" s="1"/>
  <c r="I372" i="20"/>
  <c r="K372" i="20" s="1"/>
  <c r="K371" i="20"/>
  <c r="J371" i="20"/>
  <c r="J370" i="20"/>
  <c r="I370" i="20"/>
  <c r="K370" i="20" s="1"/>
  <c r="J369" i="20"/>
  <c r="I369" i="20"/>
  <c r="K369" i="20" s="1"/>
  <c r="K368" i="20"/>
  <c r="J368" i="20"/>
  <c r="I365" i="20"/>
  <c r="K365" i="20" s="1"/>
  <c r="K363" i="20"/>
  <c r="J363" i="20"/>
  <c r="J362" i="20"/>
  <c r="J355" i="20" s="1"/>
  <c r="I362" i="20"/>
  <c r="K362" i="20" s="1"/>
  <c r="K361" i="20"/>
  <c r="J361" i="20"/>
  <c r="J360" i="20"/>
  <c r="I360" i="20"/>
  <c r="K360" i="20" s="1"/>
  <c r="J359" i="20"/>
  <c r="I359" i="20"/>
  <c r="K359" i="20" s="1"/>
  <c r="K358" i="20"/>
  <c r="J358" i="20"/>
  <c r="I355" i="20"/>
  <c r="K355" i="20" s="1"/>
  <c r="N353" i="20"/>
  <c r="N351" i="20" s="1"/>
  <c r="M353" i="20"/>
  <c r="M351" i="20" s="1"/>
  <c r="L353" i="20"/>
  <c r="P352" i="20"/>
  <c r="O352" i="20"/>
  <c r="N350" i="20"/>
  <c r="N348" i="20" s="1"/>
  <c r="M350" i="20"/>
  <c r="L350" i="20"/>
  <c r="P349" i="20"/>
  <c r="O349" i="20"/>
  <c r="P346" i="20"/>
  <c r="O346" i="20"/>
  <c r="N346" i="20"/>
  <c r="M346" i="20"/>
  <c r="L346" i="20"/>
  <c r="J343" i="20"/>
  <c r="J342" i="20"/>
  <c r="J341" i="20"/>
  <c r="J340" i="20"/>
  <c r="I340" i="20"/>
  <c r="J338" i="20"/>
  <c r="I338" i="20"/>
  <c r="N336" i="20"/>
  <c r="N334" i="20" s="1"/>
  <c r="M336" i="20"/>
  <c r="M334" i="20" s="1"/>
  <c r="P334" i="20" s="1"/>
  <c r="L336" i="20"/>
  <c r="O336" i="20" s="1"/>
  <c r="P335" i="20"/>
  <c r="O335" i="20"/>
  <c r="N333" i="20"/>
  <c r="M333" i="20"/>
  <c r="M331" i="20" s="1"/>
  <c r="L333" i="20"/>
  <c r="P332" i="20"/>
  <c r="O332" i="20"/>
  <c r="P329" i="20"/>
  <c r="N329" i="20"/>
  <c r="M329" i="20"/>
  <c r="L329" i="20"/>
  <c r="I327" i="20"/>
  <c r="I325" i="20"/>
  <c r="I314" i="20" s="1"/>
  <c r="K314" i="20" s="1"/>
  <c r="N323" i="20"/>
  <c r="N321" i="20" s="1"/>
  <c r="M323" i="20"/>
  <c r="P323" i="20" s="1"/>
  <c r="L323" i="20"/>
  <c r="P322" i="20"/>
  <c r="O322" i="20"/>
  <c r="N320" i="20"/>
  <c r="N318" i="20" s="1"/>
  <c r="M320" i="20"/>
  <c r="P320" i="20" s="1"/>
  <c r="L320" i="20"/>
  <c r="P319" i="20"/>
  <c r="O319" i="20"/>
  <c r="N316" i="20"/>
  <c r="M316" i="20"/>
  <c r="L316" i="20"/>
  <c r="O316" i="20" s="1"/>
  <c r="J314" i="20"/>
  <c r="I312" i="20"/>
  <c r="K312" i="20" s="1"/>
  <c r="I311" i="20"/>
  <c r="K311" i="20" s="1"/>
  <c r="I310" i="20"/>
  <c r="K310" i="20" s="1"/>
  <c r="I309" i="20"/>
  <c r="I297" i="20" s="1"/>
  <c r="K297" i="20" s="1"/>
  <c r="N306" i="20"/>
  <c r="N304" i="20" s="1"/>
  <c r="M306" i="20"/>
  <c r="P306" i="20" s="1"/>
  <c r="L306" i="20"/>
  <c r="L304" i="20" s="1"/>
  <c r="O304" i="20" s="1"/>
  <c r="P305" i="20"/>
  <c r="O305" i="20"/>
  <c r="N303" i="20"/>
  <c r="N301" i="20" s="1"/>
  <c r="M303" i="20"/>
  <c r="M301" i="20" s="1"/>
  <c r="P301" i="20" s="1"/>
  <c r="L303" i="20"/>
  <c r="L301" i="20" s="1"/>
  <c r="O301" i="20" s="1"/>
  <c r="P302" i="20"/>
  <c r="O302" i="20"/>
  <c r="O299" i="20"/>
  <c r="N299" i="20"/>
  <c r="M299" i="20"/>
  <c r="P299" i="20" s="1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J288" i="20" s="1"/>
  <c r="J275" i="20" s="1"/>
  <c r="I287" i="20"/>
  <c r="K287" i="20" s="1"/>
  <c r="N285" i="20"/>
  <c r="N283" i="20" s="1"/>
  <c r="M285" i="20"/>
  <c r="M283" i="20" s="1"/>
  <c r="P283" i="20" s="1"/>
  <c r="L285" i="20"/>
  <c r="O285" i="20" s="1"/>
  <c r="P284" i="20"/>
  <c r="O284" i="20"/>
  <c r="N282" i="20"/>
  <c r="M282" i="20"/>
  <c r="M280" i="20" s="1"/>
  <c r="P280" i="20" s="1"/>
  <c r="L282" i="20"/>
  <c r="O282" i="20" s="1"/>
  <c r="P281" i="20"/>
  <c r="O281" i="20"/>
  <c r="P278" i="20"/>
  <c r="O278" i="20"/>
  <c r="N278" i="20"/>
  <c r="M278" i="20"/>
  <c r="L278" i="20"/>
  <c r="J276" i="20"/>
  <c r="I271" i="20"/>
  <c r="K271" i="20" s="1"/>
  <c r="N269" i="20"/>
  <c r="N267" i="20" s="1"/>
  <c r="M269" i="20"/>
  <c r="P269" i="20" s="1"/>
  <c r="L269" i="20"/>
  <c r="L267" i="20" s="1"/>
  <c r="O267" i="20" s="1"/>
  <c r="P268" i="20"/>
  <c r="O268" i="20"/>
  <c r="N266" i="20"/>
  <c r="N264" i="20" s="1"/>
  <c r="M266" i="20"/>
  <c r="L266" i="20"/>
  <c r="L264" i="20" s="1"/>
  <c r="P265" i="20"/>
  <c r="O265" i="20"/>
  <c r="O262" i="20"/>
  <c r="N262" i="20"/>
  <c r="M262" i="20"/>
  <c r="P262" i="20" s="1"/>
  <c r="L262" i="20"/>
  <c r="J260" i="20"/>
  <c r="K258" i="20"/>
  <c r="K257" i="20"/>
  <c r="I255" i="20"/>
  <c r="I248" i="20" s="1"/>
  <c r="K248" i="20" s="1"/>
  <c r="L253" i="20"/>
  <c r="L252" i="20"/>
  <c r="L251" i="20"/>
  <c r="L250" i="20"/>
  <c r="P249" i="20"/>
  <c r="N249" i="20"/>
  <c r="J248" i="20"/>
  <c r="K247" i="20"/>
  <c r="K246" i="20"/>
  <c r="I244" i="20"/>
  <c r="L242" i="20"/>
  <c r="L241" i="20"/>
  <c r="L240" i="20"/>
  <c r="L239" i="20"/>
  <c r="P238" i="20"/>
  <c r="N238" i="20"/>
  <c r="N227" i="20" s="1"/>
  <c r="J237" i="20"/>
  <c r="J236" i="20"/>
  <c r="I236" i="20"/>
  <c r="K236" i="20" s="1"/>
  <c r="K235" i="20"/>
  <c r="J235" i="20"/>
  <c r="I235" i="20"/>
  <c r="J233" i="20"/>
  <c r="N231" i="20"/>
  <c r="N230" i="20"/>
  <c r="N229" i="20"/>
  <c r="N228" i="20"/>
  <c r="J226" i="20"/>
  <c r="J180" i="20" s="1"/>
  <c r="I225" i="20"/>
  <c r="K225" i="20" s="1"/>
  <c r="I224" i="20"/>
  <c r="I216" i="20" s="1"/>
  <c r="I223" i="20"/>
  <c r="K223" i="20" s="1"/>
  <c r="L220" i="20"/>
  <c r="L219" i="20"/>
  <c r="L218" i="20"/>
  <c r="P217" i="20"/>
  <c r="N217" i="20"/>
  <c r="J216" i="20"/>
  <c r="I215" i="20"/>
  <c r="I208" i="20" s="1"/>
  <c r="K208" i="20" s="1"/>
  <c r="I214" i="20"/>
  <c r="K214" i="20" s="1"/>
  <c r="L212" i="20"/>
  <c r="L211" i="20"/>
  <c r="L210" i="20"/>
  <c r="P209" i="20"/>
  <c r="N209" i="20"/>
  <c r="J208" i="20"/>
  <c r="I204" i="20"/>
  <c r="K204" i="20" s="1"/>
  <c r="L202" i="20"/>
  <c r="L201" i="20"/>
  <c r="L200" i="20"/>
  <c r="L199" i="20"/>
  <c r="P198" i="20"/>
  <c r="N198" i="20"/>
  <c r="J197" i="20"/>
  <c r="J194" i="20"/>
  <c r="I193" i="20"/>
  <c r="I190" i="20" s="1"/>
  <c r="K190" i="20" s="1"/>
  <c r="P191" i="20"/>
  <c r="L191" i="20"/>
  <c r="O191" i="20" s="1"/>
  <c r="J190" i="20"/>
  <c r="N189" i="20"/>
  <c r="N187" i="20" s="1"/>
  <c r="M189" i="20"/>
  <c r="L189" i="20"/>
  <c r="O189" i="20" s="1"/>
  <c r="P188" i="20"/>
  <c r="O188" i="20"/>
  <c r="N186" i="20"/>
  <c r="N184" i="20" s="1"/>
  <c r="M186" i="20"/>
  <c r="M184" i="20" s="1"/>
  <c r="L186" i="20"/>
  <c r="L184" i="20" s="1"/>
  <c r="P185" i="20"/>
  <c r="O185" i="20"/>
  <c r="P182" i="20"/>
  <c r="O182" i="20"/>
  <c r="N182" i="20"/>
  <c r="M182" i="20"/>
  <c r="L182" i="20"/>
  <c r="K180" i="20"/>
  <c r="J177" i="20"/>
  <c r="J164" i="20" s="1"/>
  <c r="I176" i="20"/>
  <c r="I174" i="20" s="1"/>
  <c r="K174" i="20" s="1"/>
  <c r="J174" i="20"/>
  <c r="N173" i="20"/>
  <c r="N171" i="20" s="1"/>
  <c r="M173" i="20"/>
  <c r="M171" i="20" s="1"/>
  <c r="P171" i="20" s="1"/>
  <c r="L173" i="20"/>
  <c r="O173" i="20" s="1"/>
  <c r="P172" i="20"/>
  <c r="O172" i="20"/>
  <c r="N170" i="20"/>
  <c r="N168" i="20" s="1"/>
  <c r="M170" i="20"/>
  <c r="M168" i="20" s="1"/>
  <c r="L170" i="20"/>
  <c r="L168" i="20" s="1"/>
  <c r="P169" i="20"/>
  <c r="O169" i="20"/>
  <c r="P166" i="20"/>
  <c r="O166" i="20"/>
  <c r="N166" i="20"/>
  <c r="M166" i="20"/>
  <c r="L166" i="20"/>
  <c r="I159" i="20"/>
  <c r="I148" i="20" s="1"/>
  <c r="K148" i="20" s="1"/>
  <c r="N157" i="20"/>
  <c r="N155" i="20" s="1"/>
  <c r="M157" i="20"/>
  <c r="P157" i="20" s="1"/>
  <c r="L157" i="20"/>
  <c r="O157" i="20" s="1"/>
  <c r="P156" i="20"/>
  <c r="O156" i="20"/>
  <c r="N154" i="20"/>
  <c r="N152" i="20" s="1"/>
  <c r="M154" i="20"/>
  <c r="P154" i="20" s="1"/>
  <c r="L154" i="20"/>
  <c r="O154" i="20" s="1"/>
  <c r="P153" i="20"/>
  <c r="O153" i="20"/>
  <c r="P150" i="20"/>
  <c r="N150" i="20"/>
  <c r="M150" i="20"/>
  <c r="L150" i="20"/>
  <c r="J148" i="20"/>
  <c r="I146" i="20"/>
  <c r="K146" i="20" s="1"/>
  <c r="I145" i="20"/>
  <c r="I144" i="20"/>
  <c r="N140" i="20"/>
  <c r="N138" i="20" s="1"/>
  <c r="M140" i="20"/>
  <c r="P140" i="20" s="1"/>
  <c r="L140" i="20"/>
  <c r="L138" i="20" s="1"/>
  <c r="O138" i="20" s="1"/>
  <c r="P139" i="20"/>
  <c r="O139" i="20"/>
  <c r="N137" i="20"/>
  <c r="N135" i="20" s="1"/>
  <c r="M137" i="20"/>
  <c r="L137" i="20"/>
  <c r="L135" i="20" s="1"/>
  <c r="O135" i="20" s="1"/>
  <c r="P136" i="20"/>
  <c r="O136" i="20"/>
  <c r="O133" i="20"/>
  <c r="N133" i="20"/>
  <c r="M133" i="20"/>
  <c r="P133" i="20" s="1"/>
  <c r="L133" i="20"/>
  <c r="J130" i="20"/>
  <c r="N127" i="20"/>
  <c r="M127" i="20"/>
  <c r="P127" i="20" s="1"/>
  <c r="L127" i="20"/>
  <c r="O127" i="20" s="1"/>
  <c r="P126" i="20"/>
  <c r="O126" i="20"/>
  <c r="N124" i="20"/>
  <c r="N122" i="20" s="1"/>
  <c r="M124" i="20"/>
  <c r="P124" i="20" s="1"/>
  <c r="L124" i="20"/>
  <c r="O124" i="20" s="1"/>
  <c r="P123" i="20"/>
  <c r="O123" i="20"/>
  <c r="P120" i="20"/>
  <c r="N120" i="20"/>
  <c r="M120" i="20"/>
  <c r="L120" i="20"/>
  <c r="I116" i="20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K99" i="20" s="1"/>
  <c r="J98" i="20"/>
  <c r="I98" i="20"/>
  <c r="N96" i="20"/>
  <c r="N94" i="20" s="1"/>
  <c r="M96" i="20"/>
  <c r="M94" i="20" s="1"/>
  <c r="P94" i="20" s="1"/>
  <c r="L96" i="20"/>
  <c r="O96" i="20" s="1"/>
  <c r="P95" i="20"/>
  <c r="O95" i="20"/>
  <c r="N93" i="20"/>
  <c r="M93" i="20"/>
  <c r="M91" i="20" s="1"/>
  <c r="L93" i="20"/>
  <c r="L91" i="20" s="1"/>
  <c r="P92" i="20"/>
  <c r="O92" i="20"/>
  <c r="P89" i="20"/>
  <c r="O89" i="20"/>
  <c r="N89" i="20"/>
  <c r="M89" i="20"/>
  <c r="L89" i="20"/>
  <c r="J86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K79" i="20" s="1"/>
  <c r="I78" i="20"/>
  <c r="K78" i="20" s="1"/>
  <c r="J77" i="20"/>
  <c r="J76" i="20"/>
  <c r="N74" i="20"/>
  <c r="N72" i="20" s="1"/>
  <c r="M74" i="20"/>
  <c r="P74" i="20" s="1"/>
  <c r="L74" i="20"/>
  <c r="L72" i="20" s="1"/>
  <c r="O72" i="20" s="1"/>
  <c r="P73" i="20"/>
  <c r="O73" i="20"/>
  <c r="N71" i="20"/>
  <c r="N69" i="20" s="1"/>
  <c r="M71" i="20"/>
  <c r="M69" i="20" s="1"/>
  <c r="P69" i="20" s="1"/>
  <c r="L71" i="20"/>
  <c r="L69" i="20" s="1"/>
  <c r="O69" i="20" s="1"/>
  <c r="P70" i="20"/>
  <c r="O70" i="20"/>
  <c r="O67" i="20"/>
  <c r="N67" i="20"/>
  <c r="M67" i="20"/>
  <c r="P67" i="20" s="1"/>
  <c r="L67" i="20"/>
  <c r="J65" i="20"/>
  <c r="J64" i="20"/>
  <c r="N61" i="20"/>
  <c r="N59" i="20" s="1"/>
  <c r="M61" i="20"/>
  <c r="P61" i="20" s="1"/>
  <c r="L61" i="20"/>
  <c r="O61" i="20" s="1"/>
  <c r="P60" i="20"/>
  <c r="O60" i="20"/>
  <c r="N58" i="20"/>
  <c r="M58" i="20"/>
  <c r="L58" i="20"/>
  <c r="L56" i="20" s="1"/>
  <c r="P57" i="20"/>
  <c r="O57" i="20"/>
  <c r="P54" i="20"/>
  <c r="N54" i="20"/>
  <c r="M54" i="20"/>
  <c r="L54" i="20"/>
  <c r="N49" i="20"/>
  <c r="N47" i="20" s="1"/>
  <c r="M49" i="20"/>
  <c r="M47" i="20" s="1"/>
  <c r="P47" i="20" s="1"/>
  <c r="L49" i="20"/>
  <c r="L47" i="20" s="1"/>
  <c r="O47" i="20" s="1"/>
  <c r="P48" i="20"/>
  <c r="O48" i="20"/>
  <c r="N46" i="20"/>
  <c r="N44" i="20" s="1"/>
  <c r="M46" i="20"/>
  <c r="M44" i="20" s="1"/>
  <c r="L46" i="20"/>
  <c r="L44" i="20" s="1"/>
  <c r="P45" i="20"/>
  <c r="O45" i="20"/>
  <c r="O42" i="20"/>
  <c r="N42" i="20"/>
  <c r="M42" i="20"/>
  <c r="P42" i="20" s="1"/>
  <c r="L42" i="20"/>
  <c r="P36" i="20"/>
  <c r="N36" i="20"/>
  <c r="M36" i="20"/>
  <c r="P35" i="20"/>
  <c r="N35" i="20"/>
  <c r="M35" i="20"/>
  <c r="L35" i="20"/>
  <c r="O35" i="20" s="1"/>
  <c r="N34" i="20"/>
  <c r="M34" i="20"/>
  <c r="P34" i="20" s="1"/>
  <c r="P33" i="20"/>
  <c r="N33" i="20"/>
  <c r="N30" i="20" s="1"/>
  <c r="N28" i="20" s="1"/>
  <c r="M33" i="20"/>
  <c r="O32" i="20"/>
  <c r="N32" i="20"/>
  <c r="M32" i="20"/>
  <c r="M31" i="20" s="1"/>
  <c r="P31" i="20" s="1"/>
  <c r="L32" i="20"/>
  <c r="N31" i="20"/>
  <c r="M30" i="20"/>
  <c r="P30" i="20" s="1"/>
  <c r="N29" i="20"/>
  <c r="L29" i="20"/>
  <c r="O29" i="20" s="1"/>
  <c r="O25" i="20"/>
  <c r="N25" i="20"/>
  <c r="M25" i="20"/>
  <c r="L25" i="20"/>
  <c r="P22" i="20"/>
  <c r="N22" i="20"/>
  <c r="N19" i="20" s="1"/>
  <c r="M22" i="20"/>
  <c r="L22" i="20"/>
  <c r="O22" i="20" s="1"/>
  <c r="M19" i="20"/>
  <c r="N15" i="20"/>
  <c r="L15" i="20"/>
  <c r="O15" i="20" s="1"/>
  <c r="M12" i="20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P817" i="19"/>
  <c r="O817" i="19"/>
  <c r="P816" i="19"/>
  <c r="O816" i="19"/>
  <c r="N815" i="19"/>
  <c r="M815" i="19"/>
  <c r="P815" i="19" s="1"/>
  <c r="L815" i="19"/>
  <c r="O815" i="19" s="1"/>
  <c r="P810" i="19"/>
  <c r="O810" i="19"/>
  <c r="N810" i="19"/>
  <c r="N808" i="19" s="1"/>
  <c r="P809" i="19"/>
  <c r="O809" i="19"/>
  <c r="P808" i="19"/>
  <c r="O808" i="19"/>
  <c r="M808" i="19"/>
  <c r="L808" i="19"/>
  <c r="P807" i="19"/>
  <c r="O807" i="19"/>
  <c r="N807" i="19"/>
  <c r="M807" i="19"/>
  <c r="L807" i="19"/>
  <c r="O806" i="19"/>
  <c r="N806" i="19"/>
  <c r="N805" i="19" s="1"/>
  <c r="M806" i="19"/>
  <c r="P806" i="19" s="1"/>
  <c r="L806" i="19"/>
  <c r="L805" i="19"/>
  <c r="O805" i="19" s="1"/>
  <c r="K804" i="19"/>
  <c r="J804" i="19"/>
  <c r="K802" i="19"/>
  <c r="J801" i="19"/>
  <c r="J800" i="19"/>
  <c r="J785" i="19" s="1"/>
  <c r="I800" i="19"/>
  <c r="K800" i="19" s="1"/>
  <c r="P798" i="19"/>
  <c r="O798" i="19"/>
  <c r="P797" i="19"/>
  <c r="O797" i="19"/>
  <c r="P796" i="19"/>
  <c r="N796" i="19"/>
  <c r="M796" i="19"/>
  <c r="L796" i="19"/>
  <c r="O796" i="19" s="1"/>
  <c r="P791" i="19"/>
  <c r="N791" i="19"/>
  <c r="L791" i="19"/>
  <c r="O791" i="19" s="1"/>
  <c r="P790" i="19"/>
  <c r="O790" i="19"/>
  <c r="P789" i="19"/>
  <c r="N789" i="19"/>
  <c r="M789" i="19"/>
  <c r="P788" i="19"/>
  <c r="N788" i="19"/>
  <c r="M788" i="19"/>
  <c r="O787" i="19"/>
  <c r="N787" i="19"/>
  <c r="N786" i="19" s="1"/>
  <c r="M787" i="19"/>
  <c r="P787" i="19" s="1"/>
  <c r="L787" i="19"/>
  <c r="P782" i="19"/>
  <c r="O782" i="19"/>
  <c r="P781" i="19"/>
  <c r="O781" i="19"/>
  <c r="N780" i="19"/>
  <c r="M780" i="19"/>
  <c r="P780" i="19" s="1"/>
  <c r="L780" i="19"/>
  <c r="O780" i="19" s="1"/>
  <c r="P775" i="19"/>
  <c r="O775" i="19"/>
  <c r="N775" i="19"/>
  <c r="N772" i="19" s="1"/>
  <c r="P774" i="19"/>
  <c r="O774" i="19"/>
  <c r="P773" i="19"/>
  <c r="M773" i="19"/>
  <c r="L773" i="19"/>
  <c r="O773" i="19" s="1"/>
  <c r="P772" i="19"/>
  <c r="O772" i="19"/>
  <c r="M772" i="19"/>
  <c r="L772" i="19"/>
  <c r="P771" i="19"/>
  <c r="O771" i="19"/>
  <c r="N771" i="19"/>
  <c r="N770" i="19" s="1"/>
  <c r="M771" i="19"/>
  <c r="L771" i="19"/>
  <c r="L770" i="19" s="1"/>
  <c r="O770" i="19" s="1"/>
  <c r="M770" i="19"/>
  <c r="P770" i="19" s="1"/>
  <c r="K769" i="19"/>
  <c r="J769" i="19"/>
  <c r="P766" i="19"/>
  <c r="O766" i="19"/>
  <c r="P765" i="19"/>
  <c r="O765" i="19"/>
  <c r="N764" i="19"/>
  <c r="M764" i="19"/>
  <c r="P764" i="19" s="1"/>
  <c r="L764" i="19"/>
  <c r="O764" i="19" s="1"/>
  <c r="P759" i="19"/>
  <c r="O759" i="19"/>
  <c r="N759" i="19"/>
  <c r="N756" i="19" s="1"/>
  <c r="P758" i="19"/>
  <c r="O758" i="19"/>
  <c r="P757" i="19"/>
  <c r="M757" i="19"/>
  <c r="L757" i="19"/>
  <c r="O757" i="19" s="1"/>
  <c r="P756" i="19"/>
  <c r="O756" i="19"/>
  <c r="M756" i="19"/>
  <c r="L756" i="19"/>
  <c r="P755" i="19"/>
  <c r="O755" i="19"/>
  <c r="N755" i="19"/>
  <c r="N754" i="19" s="1"/>
  <c r="M755" i="19"/>
  <c r="L755" i="19"/>
  <c r="L754" i="19" s="1"/>
  <c r="O754" i="19" s="1"/>
  <c r="M754" i="19"/>
  <c r="P754" i="19" s="1"/>
  <c r="K753" i="19"/>
  <c r="J753" i="19"/>
  <c r="P749" i="19"/>
  <c r="O749" i="19"/>
  <c r="P748" i="19"/>
  <c r="O748" i="19"/>
  <c r="N747" i="19"/>
  <c r="M747" i="19"/>
  <c r="P747" i="19" s="1"/>
  <c r="L747" i="19"/>
  <c r="O747" i="19" s="1"/>
  <c r="P742" i="19"/>
  <c r="O742" i="19"/>
  <c r="N742" i="19"/>
  <c r="N739" i="19" s="1"/>
  <c r="P741" i="19"/>
  <c r="O741" i="19"/>
  <c r="P740" i="19"/>
  <c r="M740" i="19"/>
  <c r="L740" i="19"/>
  <c r="O740" i="19" s="1"/>
  <c r="P739" i="19"/>
  <c r="O739" i="19"/>
  <c r="M739" i="19"/>
  <c r="L739" i="19"/>
  <c r="P738" i="19"/>
  <c r="O738" i="19"/>
  <c r="N738" i="19"/>
  <c r="N737" i="19" s="1"/>
  <c r="M738" i="19"/>
  <c r="L738" i="19"/>
  <c r="L737" i="19" s="1"/>
  <c r="O737" i="19" s="1"/>
  <c r="M737" i="19"/>
  <c r="P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J700" i="19"/>
  <c r="I700" i="19"/>
  <c r="K700" i="19" s="1"/>
  <c r="J699" i="19"/>
  <c r="I699" i="19"/>
  <c r="K699" i="19" s="1"/>
  <c r="P697" i="19"/>
  <c r="O697" i="19"/>
  <c r="P696" i="19"/>
  <c r="O696" i="19"/>
  <c r="N695" i="19"/>
  <c r="M695" i="19"/>
  <c r="P695" i="19" s="1"/>
  <c r="L695" i="19"/>
  <c r="O695" i="19" s="1"/>
  <c r="P690" i="19"/>
  <c r="N690" i="19"/>
  <c r="N688" i="19" s="1"/>
  <c r="L690" i="19"/>
  <c r="O690" i="19" s="1"/>
  <c r="P688" i="19"/>
  <c r="M688" i="19"/>
  <c r="P687" i="19"/>
  <c r="N687" i="19"/>
  <c r="M687" i="19"/>
  <c r="O686" i="19"/>
  <c r="N686" i="19"/>
  <c r="N685" i="19" s="1"/>
  <c r="M686" i="19"/>
  <c r="P686" i="19" s="1"/>
  <c r="L686" i="19"/>
  <c r="J679" i="19"/>
  <c r="J678" i="19"/>
  <c r="I678" i="19"/>
  <c r="K678" i="19" s="1"/>
  <c r="J675" i="19"/>
  <c r="J669" i="19" s="1"/>
  <c r="J654" i="19" s="1"/>
  <c r="I671" i="19"/>
  <c r="K671" i="19" s="1"/>
  <c r="I670" i="19"/>
  <c r="K670" i="19" s="1"/>
  <c r="I669" i="19"/>
  <c r="K674" i="19" s="1"/>
  <c r="P667" i="19"/>
  <c r="O667" i="19"/>
  <c r="P666" i="19"/>
  <c r="O666" i="19"/>
  <c r="O665" i="19"/>
  <c r="N665" i="19"/>
  <c r="M665" i="19"/>
  <c r="P665" i="19" s="1"/>
  <c r="L665" i="19"/>
  <c r="P660" i="19"/>
  <c r="N660" i="19"/>
  <c r="L660" i="19"/>
  <c r="O660" i="19" s="1"/>
  <c r="P659" i="19"/>
  <c r="O659" i="19"/>
  <c r="N658" i="19"/>
  <c r="M658" i="19"/>
  <c r="P658" i="19" s="1"/>
  <c r="N657" i="19"/>
  <c r="M657" i="19"/>
  <c r="P657" i="19" s="1"/>
  <c r="P656" i="19"/>
  <c r="N656" i="19"/>
  <c r="N655" i="19" s="1"/>
  <c r="M656" i="19"/>
  <c r="M655" i="19" s="1"/>
  <c r="P655" i="19" s="1"/>
  <c r="L656" i="19"/>
  <c r="O656" i="19" s="1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O641" i="19" s="1"/>
  <c r="P640" i="19"/>
  <c r="O640" i="19"/>
  <c r="P639" i="19"/>
  <c r="N639" i="19"/>
  <c r="M639" i="19"/>
  <c r="P634" i="19"/>
  <c r="N634" i="19"/>
  <c r="L634" i="19"/>
  <c r="P633" i="19"/>
  <c r="O633" i="19"/>
  <c r="P632" i="19"/>
  <c r="N632" i="19"/>
  <c r="M632" i="19"/>
  <c r="L632" i="19"/>
  <c r="M631" i="19"/>
  <c r="P631" i="19" s="1"/>
  <c r="N630" i="19"/>
  <c r="M630" i="19"/>
  <c r="M629" i="19" s="1"/>
  <c r="P629" i="19" s="1"/>
  <c r="L630" i="19"/>
  <c r="O630" i="19" s="1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4" i="19" s="1"/>
  <c r="J595" i="19"/>
  <c r="J593" i="19" s="1"/>
  <c r="J592" i="19" s="1"/>
  <c r="I594" i="19"/>
  <c r="I593" i="19"/>
  <c r="J583" i="19"/>
  <c r="J577" i="19" s="1"/>
  <c r="J582" i="19"/>
  <c r="J576" i="19" s="1"/>
  <c r="J559" i="19" s="1"/>
  <c r="J543" i="19" s="1"/>
  <c r="I577" i="19"/>
  <c r="K577" i="19" s="1"/>
  <c r="I576" i="19"/>
  <c r="K576" i="19" s="1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P557" i="19"/>
  <c r="L557" i="19"/>
  <c r="O557" i="19" s="1"/>
  <c r="P556" i="19"/>
  <c r="O556" i="19"/>
  <c r="N555" i="19"/>
  <c r="N545" i="19" s="1"/>
  <c r="M555" i="19"/>
  <c r="P555" i="19" s="1"/>
  <c r="P549" i="19"/>
  <c r="N549" i="19"/>
  <c r="N546" i="19" s="1"/>
  <c r="L549" i="19"/>
  <c r="O549" i="19" s="1"/>
  <c r="P548" i="19"/>
  <c r="O548" i="19"/>
  <c r="N547" i="19"/>
  <c r="M547" i="19"/>
  <c r="P547" i="19" s="1"/>
  <c r="P546" i="19"/>
  <c r="M546" i="19"/>
  <c r="O545" i="19"/>
  <c r="L545" i="19"/>
  <c r="N544" i="19"/>
  <c r="I542" i="19"/>
  <c r="K542" i="19" s="1"/>
  <c r="I541" i="19"/>
  <c r="K541" i="19" s="1"/>
  <c r="I540" i="19"/>
  <c r="K540" i="19" s="1"/>
  <c r="I539" i="19"/>
  <c r="K539" i="19" s="1"/>
  <c r="I538" i="19"/>
  <c r="K538" i="19" s="1"/>
  <c r="I537" i="19"/>
  <c r="P535" i="19"/>
  <c r="L535" i="19"/>
  <c r="L533" i="19" s="1"/>
  <c r="O533" i="19" s="1"/>
  <c r="P534" i="19"/>
  <c r="O534" i="19"/>
  <c r="P533" i="19"/>
  <c r="N533" i="19"/>
  <c r="M533" i="19"/>
  <c r="P528" i="19"/>
  <c r="N528" i="19"/>
  <c r="L528" i="19"/>
  <c r="O528" i="19" s="1"/>
  <c r="P527" i="19"/>
  <c r="O527" i="19"/>
  <c r="P526" i="19"/>
  <c r="N526" i="19"/>
  <c r="M526" i="19"/>
  <c r="P525" i="19"/>
  <c r="N525" i="19"/>
  <c r="M525" i="19"/>
  <c r="O524" i="19"/>
  <c r="N524" i="19"/>
  <c r="N523" i="19" s="1"/>
  <c r="M524" i="19"/>
  <c r="P524" i="19" s="1"/>
  <c r="L524" i="19"/>
  <c r="M523" i="19"/>
  <c r="P523" i="19" s="1"/>
  <c r="K517" i="19"/>
  <c r="J517" i="19"/>
  <c r="J501" i="19" s="1"/>
  <c r="K516" i="19"/>
  <c r="P514" i="19"/>
  <c r="O514" i="19"/>
  <c r="P513" i="19"/>
  <c r="O513" i="19"/>
  <c r="P512" i="19"/>
  <c r="O512" i="19"/>
  <c r="N512" i="19"/>
  <c r="M512" i="19"/>
  <c r="L512" i="19"/>
  <c r="P507" i="19"/>
  <c r="O507" i="19"/>
  <c r="N507" i="19"/>
  <c r="N504" i="19" s="1"/>
  <c r="P506" i="19"/>
  <c r="O506" i="19"/>
  <c r="O505" i="19"/>
  <c r="M505" i="19"/>
  <c r="P505" i="19" s="1"/>
  <c r="L505" i="19"/>
  <c r="M504" i="19"/>
  <c r="L504" i="19"/>
  <c r="O504" i="19" s="1"/>
  <c r="N503" i="19"/>
  <c r="M503" i="19"/>
  <c r="P503" i="19" s="1"/>
  <c r="L503" i="19"/>
  <c r="K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O479" i="19" s="1"/>
  <c r="P478" i="19"/>
  <c r="O478" i="19"/>
  <c r="P477" i="19"/>
  <c r="N477" i="19"/>
  <c r="M477" i="19"/>
  <c r="L477" i="19"/>
  <c r="O477" i="19" s="1"/>
  <c r="P472" i="19"/>
  <c r="N472" i="19"/>
  <c r="N469" i="19" s="1"/>
  <c r="L472" i="19"/>
  <c r="P471" i="19"/>
  <c r="O471" i="19"/>
  <c r="P470" i="19"/>
  <c r="N470" i="19"/>
  <c r="M470" i="19"/>
  <c r="M469" i="19"/>
  <c r="P469" i="19" s="1"/>
  <c r="N468" i="19"/>
  <c r="N467" i="19" s="1"/>
  <c r="M468" i="19"/>
  <c r="P468" i="19" s="1"/>
  <c r="L468" i="19"/>
  <c r="O468" i="19" s="1"/>
  <c r="P467" i="19"/>
  <c r="M467" i="19"/>
  <c r="J466" i="19"/>
  <c r="I466" i="19"/>
  <c r="K466" i="19" s="1"/>
  <c r="J465" i="19"/>
  <c r="I465" i="19"/>
  <c r="I464" i="19"/>
  <c r="I463" i="19"/>
  <c r="I462" i="19"/>
  <c r="K462" i="19" s="1"/>
  <c r="I460" i="19"/>
  <c r="K458" i="19"/>
  <c r="P456" i="19"/>
  <c r="L456" i="19"/>
  <c r="O456" i="19" s="1"/>
  <c r="P455" i="19"/>
  <c r="O455" i="19"/>
  <c r="P454" i="19"/>
  <c r="N454" i="19"/>
  <c r="M454" i="19"/>
  <c r="P449" i="19"/>
  <c r="N449" i="19"/>
  <c r="L449" i="19"/>
  <c r="O449" i="19" s="1"/>
  <c r="P448" i="19"/>
  <c r="O448" i="19"/>
  <c r="P447" i="19"/>
  <c r="N447" i="19"/>
  <c r="M447" i="19"/>
  <c r="L447" i="19"/>
  <c r="O447" i="19" s="1"/>
  <c r="N446" i="19"/>
  <c r="M446" i="19"/>
  <c r="P446" i="19" s="1"/>
  <c r="O445" i="19"/>
  <c r="N445" i="19"/>
  <c r="M445" i="19"/>
  <c r="P445" i="19" s="1"/>
  <c r="L445" i="19"/>
  <c r="N444" i="19"/>
  <c r="M444" i="19"/>
  <c r="P444" i="19" s="1"/>
  <c r="J443" i="19"/>
  <c r="J442" i="19"/>
  <c r="I441" i="19"/>
  <c r="K441" i="19" s="1"/>
  <c r="I440" i="19"/>
  <c r="I439" i="19"/>
  <c r="K439" i="19" s="1"/>
  <c r="I438" i="19"/>
  <c r="K438" i="19" s="1"/>
  <c r="I437" i="19"/>
  <c r="K437" i="19" s="1"/>
  <c r="I435" i="19"/>
  <c r="J434" i="19"/>
  <c r="P431" i="19"/>
  <c r="L431" i="19"/>
  <c r="O431" i="19" s="1"/>
  <c r="P430" i="19"/>
  <c r="O430" i="19"/>
  <c r="P429" i="19"/>
  <c r="N429" i="19"/>
  <c r="M429" i="19"/>
  <c r="L429" i="19"/>
  <c r="O429" i="19" s="1"/>
  <c r="P424" i="19"/>
  <c r="N424" i="19"/>
  <c r="L424" i="19"/>
  <c r="L422" i="19" s="1"/>
  <c r="O422" i="19" s="1"/>
  <c r="P423" i="19"/>
  <c r="O423" i="19"/>
  <c r="P422" i="19"/>
  <c r="N422" i="19"/>
  <c r="M422" i="19"/>
  <c r="P421" i="19"/>
  <c r="N421" i="19"/>
  <c r="M421" i="19"/>
  <c r="O420" i="19"/>
  <c r="N420" i="19"/>
  <c r="N419" i="19" s="1"/>
  <c r="M420" i="19"/>
  <c r="P420" i="19" s="1"/>
  <c r="L420" i="19"/>
  <c r="J418" i="19"/>
  <c r="K413" i="19"/>
  <c r="K412" i="19"/>
  <c r="N410" i="19"/>
  <c r="N408" i="19" s="1"/>
  <c r="M410" i="19"/>
  <c r="P410" i="19" s="1"/>
  <c r="L410" i="19"/>
  <c r="O410" i="19" s="1"/>
  <c r="P409" i="19"/>
  <c r="O409" i="19"/>
  <c r="N407" i="19"/>
  <c r="N405" i="19" s="1"/>
  <c r="M407" i="19"/>
  <c r="P407" i="19" s="1"/>
  <c r="L407" i="19"/>
  <c r="O407" i="19" s="1"/>
  <c r="P406" i="19"/>
  <c r="O406" i="19"/>
  <c r="N403" i="19"/>
  <c r="M403" i="19"/>
  <c r="L403" i="19"/>
  <c r="O403" i="19" s="1"/>
  <c r="K401" i="19"/>
  <c r="J401" i="19"/>
  <c r="I401" i="19"/>
  <c r="K400" i="19"/>
  <c r="K399" i="19"/>
  <c r="N397" i="19"/>
  <c r="N395" i="19" s="1"/>
  <c r="M397" i="19"/>
  <c r="M395" i="19" s="1"/>
  <c r="P395" i="19" s="1"/>
  <c r="L397" i="19"/>
  <c r="O397" i="19" s="1"/>
  <c r="P396" i="19"/>
  <c r="O396" i="19"/>
  <c r="N394" i="19"/>
  <c r="N392" i="19" s="1"/>
  <c r="M394" i="19"/>
  <c r="L394" i="19"/>
  <c r="O394" i="19" s="1"/>
  <c r="P393" i="19"/>
  <c r="O393" i="19"/>
  <c r="N390" i="19"/>
  <c r="M390" i="19"/>
  <c r="P390" i="19" s="1"/>
  <c r="L390" i="19"/>
  <c r="K388" i="19"/>
  <c r="J388" i="19"/>
  <c r="I388" i="19"/>
  <c r="J385" i="19"/>
  <c r="I385" i="19"/>
  <c r="K385" i="19" s="1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I362" i="19"/>
  <c r="K361" i="19"/>
  <c r="J361" i="19"/>
  <c r="J360" i="19"/>
  <c r="I360" i="19"/>
  <c r="J359" i="19"/>
  <c r="I359" i="19"/>
  <c r="K358" i="19"/>
  <c r="J358" i="19"/>
  <c r="I355" i="19"/>
  <c r="N353" i="19"/>
  <c r="M353" i="19"/>
  <c r="L353" i="19"/>
  <c r="L351" i="19" s="1"/>
  <c r="P352" i="19"/>
  <c r="O352" i="19"/>
  <c r="N350" i="19"/>
  <c r="N348" i="19" s="1"/>
  <c r="M350" i="19"/>
  <c r="L350" i="19"/>
  <c r="L348" i="19" s="1"/>
  <c r="P349" i="19"/>
  <c r="O349" i="19"/>
  <c r="O346" i="19"/>
  <c r="N346" i="19"/>
  <c r="M346" i="19"/>
  <c r="P346" i="19" s="1"/>
  <c r="L346" i="19"/>
  <c r="J343" i="19"/>
  <c r="J342" i="19"/>
  <c r="J341" i="19"/>
  <c r="J340" i="19"/>
  <c r="I340" i="19"/>
  <c r="J338" i="19"/>
  <c r="I338" i="19"/>
  <c r="N336" i="19"/>
  <c r="M336" i="19"/>
  <c r="M334" i="19" s="1"/>
  <c r="P334" i="19" s="1"/>
  <c r="L336" i="19"/>
  <c r="L334" i="19" s="1"/>
  <c r="O334" i="19" s="1"/>
  <c r="P335" i="19"/>
  <c r="O335" i="19"/>
  <c r="N333" i="19"/>
  <c r="M333" i="19"/>
  <c r="L333" i="19"/>
  <c r="P332" i="19"/>
  <c r="O332" i="19"/>
  <c r="N329" i="19"/>
  <c r="M329" i="19"/>
  <c r="L329" i="19"/>
  <c r="I327" i="19"/>
  <c r="I325" i="19"/>
  <c r="I314" i="19" s="1"/>
  <c r="K314" i="19" s="1"/>
  <c r="N323" i="19"/>
  <c r="N321" i="19" s="1"/>
  <c r="M323" i="19"/>
  <c r="P323" i="19" s="1"/>
  <c r="L323" i="19"/>
  <c r="P322" i="19"/>
  <c r="O322" i="19"/>
  <c r="N320" i="19"/>
  <c r="N318" i="19" s="1"/>
  <c r="M320" i="19"/>
  <c r="P320" i="19" s="1"/>
  <c r="L320" i="19"/>
  <c r="O320" i="19" s="1"/>
  <c r="P319" i="19"/>
  <c r="O319" i="19"/>
  <c r="P316" i="19"/>
  <c r="O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I297" i="19" s="1"/>
  <c r="N306" i="19"/>
  <c r="M306" i="19"/>
  <c r="L306" i="19"/>
  <c r="O306" i="19" s="1"/>
  <c r="P305" i="19"/>
  <c r="O305" i="19"/>
  <c r="N303" i="19"/>
  <c r="N301" i="19" s="1"/>
  <c r="M303" i="19"/>
  <c r="M301" i="19" s="1"/>
  <c r="L303" i="19"/>
  <c r="P302" i="19"/>
  <c r="O302" i="19"/>
  <c r="P299" i="19"/>
  <c r="N299" i="19"/>
  <c r="M299" i="19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I275" i="19" s="1"/>
  <c r="K275" i="19" s="1"/>
  <c r="I287" i="19"/>
  <c r="K287" i="19" s="1"/>
  <c r="N285" i="19"/>
  <c r="N283" i="19" s="1"/>
  <c r="M285" i="19"/>
  <c r="P285" i="19" s="1"/>
  <c r="L285" i="19"/>
  <c r="P284" i="19"/>
  <c r="O284" i="19"/>
  <c r="N282" i="19"/>
  <c r="N280" i="19" s="1"/>
  <c r="M282" i="19"/>
  <c r="M280" i="19" s="1"/>
  <c r="P280" i="19" s="1"/>
  <c r="L282" i="19"/>
  <c r="L280" i="19" s="1"/>
  <c r="O280" i="19" s="1"/>
  <c r="P281" i="19"/>
  <c r="O281" i="19"/>
  <c r="N278" i="19"/>
  <c r="M278" i="19"/>
  <c r="L278" i="19"/>
  <c r="J276" i="19"/>
  <c r="I271" i="19"/>
  <c r="K271" i="19" s="1"/>
  <c r="N269" i="19"/>
  <c r="N267" i="19" s="1"/>
  <c r="M269" i="19"/>
  <c r="P269" i="19" s="1"/>
  <c r="L269" i="19"/>
  <c r="P268" i="19"/>
  <c r="O268" i="19"/>
  <c r="N266" i="19"/>
  <c r="N264" i="19" s="1"/>
  <c r="M266" i="19"/>
  <c r="L266" i="19"/>
  <c r="L264" i="19" s="1"/>
  <c r="P265" i="19"/>
  <c r="O265" i="19"/>
  <c r="N262" i="19"/>
  <c r="M262" i="19"/>
  <c r="L262" i="19"/>
  <c r="J260" i="19"/>
  <c r="K258" i="19"/>
  <c r="K257" i="19"/>
  <c r="I255" i="19"/>
  <c r="K255" i="19" s="1"/>
  <c r="L253" i="19"/>
  <c r="L252" i="19"/>
  <c r="L251" i="19"/>
  <c r="L250" i="19"/>
  <c r="P249" i="19"/>
  <c r="N249" i="19"/>
  <c r="J248" i="19"/>
  <c r="J226" i="19" s="1"/>
  <c r="J180" i="19" s="1"/>
  <c r="K247" i="19"/>
  <c r="K246" i="19"/>
  <c r="I244" i="19"/>
  <c r="K244" i="19" s="1"/>
  <c r="L242" i="19"/>
  <c r="L241" i="19"/>
  <c r="L240" i="19"/>
  <c r="L239" i="19"/>
  <c r="P238" i="19"/>
  <c r="N238" i="19"/>
  <c r="J237" i="19"/>
  <c r="J236" i="19"/>
  <c r="I236" i="19"/>
  <c r="K236" i="19" s="1"/>
  <c r="K235" i="19"/>
  <c r="J235" i="19"/>
  <c r="I235" i="19"/>
  <c r="J233" i="19"/>
  <c r="N231" i="19"/>
  <c r="N230" i="19"/>
  <c r="N229" i="19"/>
  <c r="N228" i="19"/>
  <c r="N227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I204" i="19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M187" i="19" s="1"/>
  <c r="P187" i="19" s="1"/>
  <c r="L189" i="19"/>
  <c r="L187" i="19" s="1"/>
  <c r="O187" i="19" s="1"/>
  <c r="P188" i="19"/>
  <c r="O188" i="19"/>
  <c r="N186" i="19"/>
  <c r="N184" i="19" s="1"/>
  <c r="M186" i="19"/>
  <c r="M184" i="19" s="1"/>
  <c r="L186" i="19"/>
  <c r="L184" i="19" s="1"/>
  <c r="P185" i="19"/>
  <c r="O185" i="19"/>
  <c r="O182" i="19"/>
  <c r="N182" i="19"/>
  <c r="M182" i="19"/>
  <c r="P182" i="19" s="1"/>
  <c r="L182" i="19"/>
  <c r="K180" i="19"/>
  <c r="J177" i="19"/>
  <c r="I176" i="19"/>
  <c r="I174" i="19" s="1"/>
  <c r="I164" i="19" s="1"/>
  <c r="J174" i="19"/>
  <c r="N173" i="19"/>
  <c r="N171" i="19" s="1"/>
  <c r="M173" i="19"/>
  <c r="P173" i="19" s="1"/>
  <c r="L173" i="19"/>
  <c r="L171" i="19" s="1"/>
  <c r="O171" i="19" s="1"/>
  <c r="P172" i="19"/>
  <c r="O172" i="19"/>
  <c r="N170" i="19"/>
  <c r="N168" i="19" s="1"/>
  <c r="M170" i="19"/>
  <c r="M168" i="19" s="1"/>
  <c r="L170" i="19"/>
  <c r="L168" i="19" s="1"/>
  <c r="P169" i="19"/>
  <c r="O169" i="19"/>
  <c r="N166" i="19"/>
  <c r="M166" i="19"/>
  <c r="L166" i="19"/>
  <c r="O166" i="19" s="1"/>
  <c r="I159" i="19"/>
  <c r="K159" i="19" s="1"/>
  <c r="N157" i="19"/>
  <c r="N155" i="19" s="1"/>
  <c r="M157" i="19"/>
  <c r="P157" i="19" s="1"/>
  <c r="L157" i="19"/>
  <c r="O157" i="19" s="1"/>
  <c r="P156" i="19"/>
  <c r="O156" i="19"/>
  <c r="N154" i="19"/>
  <c r="M154" i="19"/>
  <c r="M152" i="19" s="1"/>
  <c r="L154" i="19"/>
  <c r="L152" i="19" s="1"/>
  <c r="P153" i="19"/>
  <c r="O153" i="19"/>
  <c r="P150" i="19"/>
  <c r="O150" i="19"/>
  <c r="N150" i="19"/>
  <c r="M150" i="19"/>
  <c r="L150" i="19"/>
  <c r="J148" i="19"/>
  <c r="I146" i="19"/>
  <c r="I130" i="19" s="1"/>
  <c r="K130" i="19" s="1"/>
  <c r="I145" i="19"/>
  <c r="I144" i="19"/>
  <c r="K144" i="19" s="1"/>
  <c r="N140" i="19"/>
  <c r="N138" i="19" s="1"/>
  <c r="M140" i="19"/>
  <c r="P140" i="19" s="1"/>
  <c r="L140" i="19"/>
  <c r="O140" i="19" s="1"/>
  <c r="P139" i="19"/>
  <c r="O139" i="19"/>
  <c r="N137" i="19"/>
  <c r="N135" i="19" s="1"/>
  <c r="M137" i="19"/>
  <c r="M135" i="19" s="1"/>
  <c r="P135" i="19" s="1"/>
  <c r="L137" i="19"/>
  <c r="O137" i="19" s="1"/>
  <c r="P136" i="19"/>
  <c r="O136" i="19"/>
  <c r="P133" i="19"/>
  <c r="N133" i="19"/>
  <c r="M133" i="19"/>
  <c r="L133" i="19"/>
  <c r="O133" i="19" s="1"/>
  <c r="J130" i="19"/>
  <c r="N127" i="19"/>
  <c r="N125" i="19" s="1"/>
  <c r="M127" i="19"/>
  <c r="L127" i="19"/>
  <c r="P126" i="19"/>
  <c r="O126" i="19"/>
  <c r="N124" i="19"/>
  <c r="N122" i="19" s="1"/>
  <c r="M124" i="19"/>
  <c r="P124" i="19" s="1"/>
  <c r="L124" i="19"/>
  <c r="O124" i="19" s="1"/>
  <c r="P123" i="19"/>
  <c r="O123" i="19"/>
  <c r="O120" i="19"/>
  <c r="N120" i="19"/>
  <c r="M120" i="19"/>
  <c r="P120" i="19" s="1"/>
  <c r="L120" i="19"/>
  <c r="I116" i="19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J99" i="19"/>
  <c r="I99" i="19"/>
  <c r="I87" i="19" s="1"/>
  <c r="J98" i="19"/>
  <c r="J86" i="19" s="1"/>
  <c r="I98" i="19"/>
  <c r="I86" i="19" s="1"/>
  <c r="K86" i="19" s="1"/>
  <c r="N96" i="19"/>
  <c r="N94" i="19" s="1"/>
  <c r="M96" i="19"/>
  <c r="P96" i="19" s="1"/>
  <c r="L96" i="19"/>
  <c r="L94" i="19" s="1"/>
  <c r="O94" i="19" s="1"/>
  <c r="P95" i="19"/>
  <c r="O95" i="19"/>
  <c r="N93" i="19"/>
  <c r="N91" i="19" s="1"/>
  <c r="M93" i="19"/>
  <c r="L93" i="19"/>
  <c r="L91" i="19" s="1"/>
  <c r="P92" i="19"/>
  <c r="O92" i="19"/>
  <c r="O89" i="19"/>
  <c r="N89" i="19"/>
  <c r="M89" i="19"/>
  <c r="P89" i="19" s="1"/>
  <c r="L89" i="19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I78" i="19"/>
  <c r="K78" i="19" s="1"/>
  <c r="J77" i="19"/>
  <c r="J65" i="19" s="1"/>
  <c r="J76" i="19"/>
  <c r="N74" i="19"/>
  <c r="N72" i="19" s="1"/>
  <c r="M74" i="19"/>
  <c r="P74" i="19" s="1"/>
  <c r="L74" i="19"/>
  <c r="O74" i="19" s="1"/>
  <c r="P73" i="19"/>
  <c r="O73" i="19"/>
  <c r="N71" i="19"/>
  <c r="N69" i="19" s="1"/>
  <c r="M71" i="19"/>
  <c r="L71" i="19"/>
  <c r="O71" i="19" s="1"/>
  <c r="P70" i="19"/>
  <c r="O70" i="19"/>
  <c r="N67" i="19"/>
  <c r="M67" i="19"/>
  <c r="L67" i="19"/>
  <c r="O67" i="19" s="1"/>
  <c r="J64" i="19"/>
  <c r="N61" i="19"/>
  <c r="N59" i="19" s="1"/>
  <c r="M61" i="19"/>
  <c r="L61" i="19"/>
  <c r="O61" i="19" s="1"/>
  <c r="P60" i="19"/>
  <c r="O60" i="19"/>
  <c r="N58" i="19"/>
  <c r="N56" i="19" s="1"/>
  <c r="M58" i="19"/>
  <c r="L58" i="19"/>
  <c r="L56" i="19" s="1"/>
  <c r="P57" i="19"/>
  <c r="O57" i="19"/>
  <c r="N54" i="19"/>
  <c r="M54" i="19"/>
  <c r="L54" i="19"/>
  <c r="O54" i="19" s="1"/>
  <c r="N49" i="19"/>
  <c r="N47" i="19" s="1"/>
  <c r="M49" i="19"/>
  <c r="P49" i="19" s="1"/>
  <c r="L49" i="19"/>
  <c r="O49" i="19" s="1"/>
  <c r="P48" i="19"/>
  <c r="O48" i="19"/>
  <c r="N46" i="19"/>
  <c r="N44" i="19" s="1"/>
  <c r="M46" i="19"/>
  <c r="M44" i="19" s="1"/>
  <c r="L46" i="19"/>
  <c r="P45" i="19"/>
  <c r="O45" i="19"/>
  <c r="O42" i="19"/>
  <c r="N42" i="19"/>
  <c r="M42" i="19"/>
  <c r="L42" i="19"/>
  <c r="P36" i="19"/>
  <c r="N36" i="19"/>
  <c r="M36" i="19"/>
  <c r="N35" i="19"/>
  <c r="M35" i="19"/>
  <c r="L35" i="19"/>
  <c r="O35" i="19" s="1"/>
  <c r="P33" i="19"/>
  <c r="N33" i="19"/>
  <c r="M33" i="19"/>
  <c r="M30" i="19" s="1"/>
  <c r="P30" i="19" s="1"/>
  <c r="P32" i="19"/>
  <c r="O32" i="19"/>
  <c r="N32" i="19"/>
  <c r="N29" i="19" s="1"/>
  <c r="M32" i="19"/>
  <c r="L32" i="19"/>
  <c r="N31" i="19"/>
  <c r="M31" i="19"/>
  <c r="P31" i="19" s="1"/>
  <c r="L29" i="19"/>
  <c r="O29" i="19" s="1"/>
  <c r="P25" i="19"/>
  <c r="O25" i="19"/>
  <c r="N25" i="19"/>
  <c r="N15" i="19" s="1"/>
  <c r="M25" i="19"/>
  <c r="L25" i="19"/>
  <c r="P22" i="19"/>
  <c r="N22" i="19"/>
  <c r="M22" i="19"/>
  <c r="L22" i="19"/>
  <c r="O22" i="19" s="1"/>
  <c r="M19" i="19"/>
  <c r="P19" i="19" s="1"/>
  <c r="L19" i="19"/>
  <c r="L15" i="19"/>
  <c r="N12" i="19"/>
  <c r="M12" i="19"/>
  <c r="P12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P817" i="18"/>
  <c r="O817" i="18"/>
  <c r="P816" i="18"/>
  <c r="O816" i="18"/>
  <c r="N815" i="18"/>
  <c r="M815" i="18"/>
  <c r="P815" i="18" s="1"/>
  <c r="L815" i="18"/>
  <c r="O815" i="18" s="1"/>
  <c r="P810" i="18"/>
  <c r="O810" i="18"/>
  <c r="N810" i="18"/>
  <c r="N808" i="18" s="1"/>
  <c r="P809" i="18"/>
  <c r="O809" i="18"/>
  <c r="P808" i="18"/>
  <c r="O808" i="18"/>
  <c r="M808" i="18"/>
  <c r="L808" i="18"/>
  <c r="P807" i="18"/>
  <c r="O807" i="18"/>
  <c r="N807" i="18"/>
  <c r="M807" i="18"/>
  <c r="L807" i="18"/>
  <c r="O806" i="18"/>
  <c r="N806" i="18"/>
  <c r="N805" i="18" s="1"/>
  <c r="M806" i="18"/>
  <c r="P806" i="18" s="1"/>
  <c r="L806" i="18"/>
  <c r="M805" i="18"/>
  <c r="P805" i="18" s="1"/>
  <c r="L805" i="18"/>
  <c r="O805" i="18" s="1"/>
  <c r="K804" i="18"/>
  <c r="J804" i="18"/>
  <c r="K802" i="18"/>
  <c r="J801" i="18"/>
  <c r="J800" i="18"/>
  <c r="J785" i="18" s="1"/>
  <c r="I800" i="18"/>
  <c r="P798" i="18"/>
  <c r="O798" i="18"/>
  <c r="P797" i="18"/>
  <c r="O797" i="18"/>
  <c r="P796" i="18"/>
  <c r="N796" i="18"/>
  <c r="M796" i="18"/>
  <c r="L796" i="18"/>
  <c r="O796" i="18" s="1"/>
  <c r="P791" i="18"/>
  <c r="N791" i="18"/>
  <c r="L791" i="18"/>
  <c r="P790" i="18"/>
  <c r="O790" i="18"/>
  <c r="P789" i="18"/>
  <c r="N789" i="18"/>
  <c r="M789" i="18"/>
  <c r="P788" i="18"/>
  <c r="N788" i="18"/>
  <c r="M788" i="18"/>
  <c r="O787" i="18"/>
  <c r="N787" i="18"/>
  <c r="N786" i="18" s="1"/>
  <c r="M787" i="18"/>
  <c r="P787" i="18" s="1"/>
  <c r="L787" i="18"/>
  <c r="M786" i="18"/>
  <c r="P786" i="18" s="1"/>
  <c r="P782" i="18"/>
  <c r="O782" i="18"/>
  <c r="P781" i="18"/>
  <c r="O781" i="18"/>
  <c r="N780" i="18"/>
  <c r="M780" i="18"/>
  <c r="P780" i="18" s="1"/>
  <c r="L780" i="18"/>
  <c r="O780" i="18" s="1"/>
  <c r="P775" i="18"/>
  <c r="O775" i="18"/>
  <c r="N775" i="18"/>
  <c r="N772" i="18" s="1"/>
  <c r="N770" i="18" s="1"/>
  <c r="P774" i="18"/>
  <c r="O774" i="18"/>
  <c r="P773" i="18"/>
  <c r="N773" i="18"/>
  <c r="M773" i="18"/>
  <c r="L773" i="18"/>
  <c r="O773" i="18" s="1"/>
  <c r="P772" i="18"/>
  <c r="O772" i="18"/>
  <c r="M772" i="18"/>
  <c r="L772" i="18"/>
  <c r="P771" i="18"/>
  <c r="O771" i="18"/>
  <c r="N771" i="18"/>
  <c r="M771" i="18"/>
  <c r="L771" i="18"/>
  <c r="L770" i="18" s="1"/>
  <c r="O770" i="18" s="1"/>
  <c r="M770" i="18"/>
  <c r="P770" i="18" s="1"/>
  <c r="K769" i="18"/>
  <c r="J769" i="18"/>
  <c r="P766" i="18"/>
  <c r="O766" i="18"/>
  <c r="P765" i="18"/>
  <c r="O765" i="18"/>
  <c r="N764" i="18"/>
  <c r="M764" i="18"/>
  <c r="P764" i="18" s="1"/>
  <c r="L764" i="18"/>
  <c r="O764" i="18" s="1"/>
  <c r="P759" i="18"/>
  <c r="O759" i="18"/>
  <c r="N759" i="18"/>
  <c r="N756" i="18" s="1"/>
  <c r="N754" i="18" s="1"/>
  <c r="P758" i="18"/>
  <c r="O758" i="18"/>
  <c r="P757" i="18"/>
  <c r="N757" i="18"/>
  <c r="M757" i="18"/>
  <c r="L757" i="18"/>
  <c r="O757" i="18" s="1"/>
  <c r="P756" i="18"/>
  <c r="O756" i="18"/>
  <c r="M756" i="18"/>
  <c r="L756" i="18"/>
  <c r="P755" i="18"/>
  <c r="O755" i="18"/>
  <c r="N755" i="18"/>
  <c r="M755" i="18"/>
  <c r="L755" i="18"/>
  <c r="L754" i="18" s="1"/>
  <c r="O754" i="18" s="1"/>
  <c r="M754" i="18"/>
  <c r="P754" i="18" s="1"/>
  <c r="K753" i="18"/>
  <c r="J753" i="18"/>
  <c r="P749" i="18"/>
  <c r="O749" i="18"/>
  <c r="P748" i="18"/>
  <c r="O748" i="18"/>
  <c r="N747" i="18"/>
  <c r="M747" i="18"/>
  <c r="P747" i="18" s="1"/>
  <c r="L747" i="18"/>
  <c r="O747" i="18" s="1"/>
  <c r="P742" i="18"/>
  <c r="O742" i="18"/>
  <c r="N742" i="18"/>
  <c r="N739" i="18" s="1"/>
  <c r="N737" i="18" s="1"/>
  <c r="P741" i="18"/>
  <c r="O741" i="18"/>
  <c r="P740" i="18"/>
  <c r="N740" i="18"/>
  <c r="M740" i="18"/>
  <c r="L740" i="18"/>
  <c r="O740" i="18" s="1"/>
  <c r="P739" i="18"/>
  <c r="O739" i="18"/>
  <c r="M739" i="18"/>
  <c r="L739" i="18"/>
  <c r="P738" i="18"/>
  <c r="O738" i="18"/>
  <c r="N738" i="18"/>
  <c r="M738" i="18"/>
  <c r="L738" i="18"/>
  <c r="L737" i="18" s="1"/>
  <c r="O737" i="18" s="1"/>
  <c r="M737" i="18"/>
  <c r="P737" i="18" s="1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N695" i="18"/>
  <c r="M695" i="18"/>
  <c r="P695" i="18" s="1"/>
  <c r="L695" i="18"/>
  <c r="O695" i="18" s="1"/>
  <c r="P690" i="18"/>
  <c r="N690" i="18"/>
  <c r="N688" i="18" s="1"/>
  <c r="L690" i="18"/>
  <c r="L688" i="18" s="1"/>
  <c r="O688" i="18" s="1"/>
  <c r="P688" i="18"/>
  <c r="M688" i="18"/>
  <c r="P687" i="18"/>
  <c r="N687" i="18"/>
  <c r="M687" i="18"/>
  <c r="O686" i="18"/>
  <c r="N686" i="18"/>
  <c r="N685" i="18" s="1"/>
  <c r="M686" i="18"/>
  <c r="P686" i="18" s="1"/>
  <c r="L686" i="18"/>
  <c r="M685" i="18"/>
  <c r="P685" i="18" s="1"/>
  <c r="J679" i="18"/>
  <c r="J678" i="18"/>
  <c r="I678" i="18"/>
  <c r="K678" i="18" s="1"/>
  <c r="J675" i="18"/>
  <c r="J669" i="18" s="1"/>
  <c r="J654" i="18" s="1"/>
  <c r="I671" i="18"/>
  <c r="K671" i="18" s="1"/>
  <c r="I670" i="18"/>
  <c r="K670" i="18" s="1"/>
  <c r="I669" i="18"/>
  <c r="K675" i="18" s="1"/>
  <c r="P667" i="18"/>
  <c r="O667" i="18"/>
  <c r="P666" i="18"/>
  <c r="O666" i="18"/>
  <c r="O665" i="18"/>
  <c r="N665" i="18"/>
  <c r="M665" i="18"/>
  <c r="P665" i="18" s="1"/>
  <c r="L665" i="18"/>
  <c r="P660" i="18"/>
  <c r="N660" i="18"/>
  <c r="N657" i="18" s="1"/>
  <c r="L660" i="18"/>
  <c r="O660" i="18" s="1"/>
  <c r="P659" i="18"/>
  <c r="O659" i="18"/>
  <c r="N658" i="18"/>
  <c r="M658" i="18"/>
  <c r="P658" i="18" s="1"/>
  <c r="M657" i="18"/>
  <c r="P657" i="18" s="1"/>
  <c r="L657" i="18"/>
  <c r="O657" i="18" s="1"/>
  <c r="P656" i="18"/>
  <c r="N656" i="18"/>
  <c r="N655" i="18" s="1"/>
  <c r="M656" i="18"/>
  <c r="L656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L639" i="18" s="1"/>
  <c r="O639" i="18" s="1"/>
  <c r="P640" i="18"/>
  <c r="O640" i="18"/>
  <c r="P639" i="18"/>
  <c r="N639" i="18"/>
  <c r="M639" i="18"/>
  <c r="P634" i="18"/>
  <c r="N634" i="18"/>
  <c r="L634" i="18"/>
  <c r="L632" i="18" s="1"/>
  <c r="O632" i="18" s="1"/>
  <c r="P633" i="18"/>
  <c r="O633" i="18"/>
  <c r="P632" i="18"/>
  <c r="N632" i="18"/>
  <c r="M632" i="18"/>
  <c r="N631" i="18"/>
  <c r="M631" i="18"/>
  <c r="P631" i="18" s="1"/>
  <c r="N630" i="18"/>
  <c r="N629" i="18" s="1"/>
  <c r="M630" i="18"/>
  <c r="M629" i="18" s="1"/>
  <c r="P629" i="18" s="1"/>
  <c r="L630" i="18"/>
  <c r="O630" i="18" s="1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4" i="18" s="1"/>
  <c r="J595" i="18"/>
  <c r="I594" i="18"/>
  <c r="J593" i="18"/>
  <c r="J592" i="18" s="1"/>
  <c r="I593" i="18"/>
  <c r="I592" i="18" s="1"/>
  <c r="K592" i="18" s="1"/>
  <c r="J583" i="18"/>
  <c r="J577" i="18" s="1"/>
  <c r="J582" i="18"/>
  <c r="J576" i="18" s="1"/>
  <c r="J559" i="18" s="1"/>
  <c r="J543" i="18" s="1"/>
  <c r="I577" i="18"/>
  <c r="I576" i="18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K560" i="18" s="1"/>
  <c r="P557" i="18"/>
  <c r="L557" i="18"/>
  <c r="O557" i="18" s="1"/>
  <c r="P556" i="18"/>
  <c r="O556" i="18"/>
  <c r="N555" i="18"/>
  <c r="N545" i="18" s="1"/>
  <c r="N544" i="18" s="1"/>
  <c r="M555" i="18"/>
  <c r="P555" i="18" s="1"/>
  <c r="P549" i="18"/>
  <c r="N549" i="18"/>
  <c r="L549" i="18"/>
  <c r="O549" i="18" s="1"/>
  <c r="P548" i="18"/>
  <c r="O548" i="18"/>
  <c r="N547" i="18"/>
  <c r="M547" i="18"/>
  <c r="P547" i="18" s="1"/>
  <c r="P546" i="18"/>
  <c r="N546" i="18"/>
  <c r="M546" i="18"/>
  <c r="O545" i="18"/>
  <c r="L545" i="18"/>
  <c r="I542" i="18"/>
  <c r="K542" i="18" s="1"/>
  <c r="I541" i="18"/>
  <c r="K541" i="18" s="1"/>
  <c r="I540" i="18"/>
  <c r="K540" i="18" s="1"/>
  <c r="I539" i="18"/>
  <c r="K539" i="18" s="1"/>
  <c r="I538" i="18"/>
  <c r="I537" i="18"/>
  <c r="I522" i="18" s="1"/>
  <c r="P535" i="18"/>
  <c r="L535" i="18"/>
  <c r="O535" i="18" s="1"/>
  <c r="P534" i="18"/>
  <c r="O534" i="18"/>
  <c r="P533" i="18"/>
  <c r="N533" i="18"/>
  <c r="M533" i="18"/>
  <c r="L533" i="18"/>
  <c r="O533" i="18" s="1"/>
  <c r="P528" i="18"/>
  <c r="N528" i="18"/>
  <c r="L528" i="18"/>
  <c r="L526" i="18" s="1"/>
  <c r="O526" i="18" s="1"/>
  <c r="P527" i="18"/>
  <c r="O527" i="18"/>
  <c r="P526" i="18"/>
  <c r="N526" i="18"/>
  <c r="M526" i="18"/>
  <c r="P525" i="18"/>
  <c r="N525" i="18"/>
  <c r="M525" i="18"/>
  <c r="O524" i="18"/>
  <c r="N524" i="18"/>
  <c r="N523" i="18" s="1"/>
  <c r="M524" i="18"/>
  <c r="P524" i="18" s="1"/>
  <c r="L524" i="18"/>
  <c r="M523" i="18"/>
  <c r="P523" i="18" s="1"/>
  <c r="K517" i="18"/>
  <c r="J517" i="18"/>
  <c r="J501" i="18" s="1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N504" i="18" s="1"/>
  <c r="N502" i="18" s="1"/>
  <c r="P506" i="18"/>
  <c r="O506" i="18"/>
  <c r="O505" i="18"/>
  <c r="N505" i="18"/>
  <c r="M505" i="18"/>
  <c r="P505" i="18" s="1"/>
  <c r="L505" i="18"/>
  <c r="M504" i="18"/>
  <c r="P504" i="18" s="1"/>
  <c r="L504" i="18"/>
  <c r="O504" i="18" s="1"/>
  <c r="N503" i="18"/>
  <c r="M503" i="18"/>
  <c r="M502" i="18" s="1"/>
  <c r="P502" i="18" s="1"/>
  <c r="L503" i="18"/>
  <c r="L502" i="18" s="1"/>
  <c r="O502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L477" i="18" s="1"/>
  <c r="O477" i="18" s="1"/>
  <c r="P478" i="18"/>
  <c r="O478" i="18"/>
  <c r="P477" i="18"/>
  <c r="N477" i="18"/>
  <c r="M477" i="18"/>
  <c r="P472" i="18"/>
  <c r="N472" i="18"/>
  <c r="N469" i="18" s="1"/>
  <c r="N467" i="18" s="1"/>
  <c r="L472" i="18"/>
  <c r="P471" i="18"/>
  <c r="O471" i="18"/>
  <c r="N470" i="18"/>
  <c r="M470" i="18"/>
  <c r="P470" i="18" s="1"/>
  <c r="M469" i="18"/>
  <c r="P469" i="18" s="1"/>
  <c r="N468" i="18"/>
  <c r="M468" i="18"/>
  <c r="M467" i="18" s="1"/>
  <c r="P467" i="18" s="1"/>
  <c r="L468" i="18"/>
  <c r="J466" i="18"/>
  <c r="I466" i="18"/>
  <c r="K466" i="18" s="1"/>
  <c r="J465" i="18"/>
  <c r="I465" i="18"/>
  <c r="K465" i="18" s="1"/>
  <c r="I464" i="18"/>
  <c r="I463" i="18"/>
  <c r="I462" i="18"/>
  <c r="K462" i="18" s="1"/>
  <c r="I460" i="18"/>
  <c r="K460" i="18" s="1"/>
  <c r="K458" i="18"/>
  <c r="P456" i="18"/>
  <c r="L456" i="18"/>
  <c r="L454" i="18" s="1"/>
  <c r="O454" i="18" s="1"/>
  <c r="P455" i="18"/>
  <c r="O455" i="18"/>
  <c r="P454" i="18"/>
  <c r="N454" i="18"/>
  <c r="M454" i="18"/>
  <c r="P449" i="18"/>
  <c r="N449" i="18"/>
  <c r="L449" i="18"/>
  <c r="O449" i="18" s="1"/>
  <c r="P448" i="18"/>
  <c r="O448" i="18"/>
  <c r="P447" i="18"/>
  <c r="N447" i="18"/>
  <c r="M447" i="18"/>
  <c r="L447" i="18"/>
  <c r="O447" i="18" s="1"/>
  <c r="N446" i="18"/>
  <c r="M446" i="18"/>
  <c r="P446" i="18" s="1"/>
  <c r="N445" i="18"/>
  <c r="M445" i="18"/>
  <c r="L445" i="18"/>
  <c r="O445" i="18" s="1"/>
  <c r="J443" i="18"/>
  <c r="J442" i="18"/>
  <c r="I441" i="18"/>
  <c r="K441" i="18" s="1"/>
  <c r="I440" i="18"/>
  <c r="I439" i="18"/>
  <c r="K439" i="18" s="1"/>
  <c r="I438" i="18"/>
  <c r="K438" i="18" s="1"/>
  <c r="I437" i="18"/>
  <c r="K437" i="18" s="1"/>
  <c r="I435" i="18"/>
  <c r="J434" i="18"/>
  <c r="P431" i="18"/>
  <c r="L431" i="18"/>
  <c r="L429" i="18" s="1"/>
  <c r="O429" i="18" s="1"/>
  <c r="P430" i="18"/>
  <c r="O430" i="18"/>
  <c r="P429" i="18"/>
  <c r="N429" i="18"/>
  <c r="M429" i="18"/>
  <c r="P424" i="18"/>
  <c r="N424" i="18"/>
  <c r="L424" i="18"/>
  <c r="O424" i="18" s="1"/>
  <c r="P423" i="18"/>
  <c r="O423" i="18"/>
  <c r="P422" i="18"/>
  <c r="N422" i="18"/>
  <c r="M422" i="18"/>
  <c r="N421" i="18"/>
  <c r="M421" i="18"/>
  <c r="P421" i="18" s="1"/>
  <c r="N420" i="18"/>
  <c r="M420" i="18"/>
  <c r="P420" i="18" s="1"/>
  <c r="L420" i="18"/>
  <c r="O420" i="18" s="1"/>
  <c r="J418" i="18"/>
  <c r="K413" i="18"/>
  <c r="K412" i="18"/>
  <c r="N410" i="18"/>
  <c r="N408" i="18" s="1"/>
  <c r="M410" i="18"/>
  <c r="P410" i="18" s="1"/>
  <c r="L410" i="18"/>
  <c r="O410" i="18" s="1"/>
  <c r="P409" i="18"/>
  <c r="O409" i="18"/>
  <c r="N407" i="18"/>
  <c r="N405" i="18" s="1"/>
  <c r="M407" i="18"/>
  <c r="P407" i="18" s="1"/>
  <c r="L407" i="18"/>
  <c r="O407" i="18" s="1"/>
  <c r="P406" i="18"/>
  <c r="O406" i="18"/>
  <c r="P403" i="18"/>
  <c r="N403" i="18"/>
  <c r="M403" i="18"/>
  <c r="L403" i="18"/>
  <c r="J401" i="18"/>
  <c r="I401" i="18"/>
  <c r="K401" i="18" s="1"/>
  <c r="K400" i="18"/>
  <c r="K399" i="18"/>
  <c r="N397" i="18"/>
  <c r="N395" i="18" s="1"/>
  <c r="M397" i="18"/>
  <c r="L397" i="18"/>
  <c r="O397" i="18" s="1"/>
  <c r="P396" i="18"/>
  <c r="O396" i="18"/>
  <c r="N394" i="18"/>
  <c r="N392" i="18" s="1"/>
  <c r="M394" i="18"/>
  <c r="L394" i="18"/>
  <c r="L392" i="18" s="1"/>
  <c r="O392" i="18" s="1"/>
  <c r="P393" i="18"/>
  <c r="O393" i="18"/>
  <c r="N390" i="18"/>
  <c r="M390" i="18"/>
  <c r="P390" i="18" s="1"/>
  <c r="L390" i="18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L353" i="18"/>
  <c r="L351" i="18" s="1"/>
  <c r="P352" i="18"/>
  <c r="O352" i="18"/>
  <c r="N350" i="18"/>
  <c r="N348" i="18" s="1"/>
  <c r="M350" i="18"/>
  <c r="L350" i="18"/>
  <c r="L348" i="18" s="1"/>
  <c r="P349" i="18"/>
  <c r="O349" i="18"/>
  <c r="N346" i="18"/>
  <c r="M346" i="18"/>
  <c r="L346" i="18"/>
  <c r="O346" i="18" s="1"/>
  <c r="J343" i="18"/>
  <c r="J342" i="18"/>
  <c r="J341" i="18"/>
  <c r="J340" i="18"/>
  <c r="I340" i="18"/>
  <c r="J338" i="18"/>
  <c r="I338" i="18"/>
  <c r="N336" i="18"/>
  <c r="N334" i="18" s="1"/>
  <c r="M336" i="18"/>
  <c r="M334" i="18" s="1"/>
  <c r="P334" i="18" s="1"/>
  <c r="L336" i="18"/>
  <c r="P335" i="18"/>
  <c r="O335" i="18"/>
  <c r="N333" i="18"/>
  <c r="N331" i="18" s="1"/>
  <c r="M333" i="18"/>
  <c r="L333" i="18"/>
  <c r="P332" i="18"/>
  <c r="O332" i="18"/>
  <c r="O329" i="18"/>
  <c r="N329" i="18"/>
  <c r="M329" i="18"/>
  <c r="P329" i="18" s="1"/>
  <c r="L329" i="18"/>
  <c r="I327" i="18"/>
  <c r="I325" i="18"/>
  <c r="K325" i="18" s="1"/>
  <c r="N323" i="18"/>
  <c r="N321" i="18" s="1"/>
  <c r="M323" i="18"/>
  <c r="P323" i="18" s="1"/>
  <c r="L323" i="18"/>
  <c r="L321" i="18" s="1"/>
  <c r="O321" i="18" s="1"/>
  <c r="P322" i="18"/>
  <c r="O322" i="18"/>
  <c r="N320" i="18"/>
  <c r="M320" i="18"/>
  <c r="L320" i="18"/>
  <c r="L318" i="18" s="1"/>
  <c r="P319" i="18"/>
  <c r="O319" i="18"/>
  <c r="P316" i="18"/>
  <c r="N316" i="18"/>
  <c r="M316" i="18"/>
  <c r="L316" i="18"/>
  <c r="O316" i="18" s="1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P306" i="18" s="1"/>
  <c r="L306" i="18"/>
  <c r="O306" i="18" s="1"/>
  <c r="P305" i="18"/>
  <c r="O305" i="18"/>
  <c r="N303" i="18"/>
  <c r="N301" i="18" s="1"/>
  <c r="M303" i="18"/>
  <c r="P303" i="18" s="1"/>
  <c r="L303" i="18"/>
  <c r="O303" i="18" s="1"/>
  <c r="P302" i="18"/>
  <c r="O302" i="18"/>
  <c r="N299" i="18"/>
  <c r="M299" i="18"/>
  <c r="P299" i="18" s="1"/>
  <c r="L299" i="18"/>
  <c r="O299" i="18" s="1"/>
  <c r="J297" i="18"/>
  <c r="I294" i="18"/>
  <c r="K294" i="18" s="1"/>
  <c r="I293" i="18"/>
  <c r="K293" i="18" s="1"/>
  <c r="I291" i="18"/>
  <c r="K291" i="18" s="1"/>
  <c r="I290" i="18"/>
  <c r="K290" i="18" s="1"/>
  <c r="I288" i="18"/>
  <c r="I287" i="18"/>
  <c r="I276" i="18" s="1"/>
  <c r="K276" i="18" s="1"/>
  <c r="N285" i="18"/>
  <c r="N283" i="18" s="1"/>
  <c r="M285" i="18"/>
  <c r="P285" i="18" s="1"/>
  <c r="L285" i="18"/>
  <c r="L283" i="18" s="1"/>
  <c r="O283" i="18" s="1"/>
  <c r="P284" i="18"/>
  <c r="O284" i="18"/>
  <c r="N282" i="18"/>
  <c r="M282" i="18"/>
  <c r="M280" i="18" s="1"/>
  <c r="L282" i="18"/>
  <c r="L280" i="18" s="1"/>
  <c r="P281" i="18"/>
  <c r="O281" i="18"/>
  <c r="O278" i="18"/>
  <c r="N278" i="18"/>
  <c r="M278" i="18"/>
  <c r="L278" i="18"/>
  <c r="J276" i="18"/>
  <c r="I271" i="18"/>
  <c r="I260" i="18" s="1"/>
  <c r="K260" i="18" s="1"/>
  <c r="N269" i="18"/>
  <c r="N267" i="18" s="1"/>
  <c r="M269" i="18"/>
  <c r="L269" i="18"/>
  <c r="P268" i="18"/>
  <c r="O268" i="18"/>
  <c r="N266" i="18"/>
  <c r="N264" i="18" s="1"/>
  <c r="M266" i="18"/>
  <c r="L266" i="18"/>
  <c r="P265" i="18"/>
  <c r="O265" i="18"/>
  <c r="P262" i="18"/>
  <c r="O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J248" i="18"/>
  <c r="K247" i="18"/>
  <c r="K246" i="18"/>
  <c r="I244" i="18"/>
  <c r="K244" i="18" s="1"/>
  <c r="L242" i="18"/>
  <c r="L241" i="18"/>
  <c r="L240" i="18"/>
  <c r="L239" i="18"/>
  <c r="P238" i="18"/>
  <c r="N238" i="18"/>
  <c r="J237" i="18"/>
  <c r="J226" i="18" s="1"/>
  <c r="J180" i="18" s="1"/>
  <c r="J236" i="18"/>
  <c r="K236" i="18" s="1"/>
  <c r="I236" i="18"/>
  <c r="J235" i="18"/>
  <c r="I235" i="18"/>
  <c r="K235" i="18" s="1"/>
  <c r="J233" i="18"/>
  <c r="N231" i="18"/>
  <c r="N230" i="18"/>
  <c r="N229" i="18"/>
  <c r="N228" i="18"/>
  <c r="N227" i="18"/>
  <c r="I225" i="18"/>
  <c r="K225" i="18" s="1"/>
  <c r="I224" i="18"/>
  <c r="I216" i="18" s="1"/>
  <c r="K216" i="18" s="1"/>
  <c r="I223" i="18"/>
  <c r="K223" i="18" s="1"/>
  <c r="L220" i="18"/>
  <c r="L219" i="18"/>
  <c r="L218" i="18"/>
  <c r="P217" i="18"/>
  <c r="N217" i="18"/>
  <c r="J216" i="18"/>
  <c r="I215" i="18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L189" i="18"/>
  <c r="P188" i="18"/>
  <c r="O188" i="18"/>
  <c r="N186" i="18"/>
  <c r="M186" i="18"/>
  <c r="M184" i="18" s="1"/>
  <c r="L186" i="18"/>
  <c r="P185" i="18"/>
  <c r="O185" i="18"/>
  <c r="N182" i="18"/>
  <c r="M182" i="18"/>
  <c r="L182" i="18"/>
  <c r="O182" i="18" s="1"/>
  <c r="K180" i="18"/>
  <c r="J177" i="18"/>
  <c r="J164" i="18" s="1"/>
  <c r="I176" i="18"/>
  <c r="I174" i="18" s="1"/>
  <c r="I164" i="18" s="1"/>
  <c r="J174" i="18"/>
  <c r="N173" i="18"/>
  <c r="N171" i="18" s="1"/>
  <c r="M173" i="18"/>
  <c r="P173" i="18" s="1"/>
  <c r="L173" i="18"/>
  <c r="P172" i="18"/>
  <c r="O172" i="18"/>
  <c r="N170" i="18"/>
  <c r="M170" i="18"/>
  <c r="L170" i="18"/>
  <c r="L168" i="18" s="1"/>
  <c r="P169" i="18"/>
  <c r="O169" i="18"/>
  <c r="N166" i="18"/>
  <c r="M166" i="18"/>
  <c r="P166" i="18" s="1"/>
  <c r="L166" i="18"/>
  <c r="I159" i="18"/>
  <c r="N157" i="18"/>
  <c r="N155" i="18" s="1"/>
  <c r="M157" i="18"/>
  <c r="L157" i="18"/>
  <c r="O157" i="18" s="1"/>
  <c r="P156" i="18"/>
  <c r="O156" i="18"/>
  <c r="N154" i="18"/>
  <c r="N152" i="18" s="1"/>
  <c r="M154" i="18"/>
  <c r="P154" i="18" s="1"/>
  <c r="L154" i="18"/>
  <c r="P153" i="18"/>
  <c r="O153" i="18"/>
  <c r="P150" i="18"/>
  <c r="O150" i="18"/>
  <c r="N150" i="18"/>
  <c r="M150" i="18"/>
  <c r="L150" i="18"/>
  <c r="J148" i="18"/>
  <c r="I146" i="18"/>
  <c r="I145" i="18"/>
  <c r="I143" i="18" s="1"/>
  <c r="I144" i="18"/>
  <c r="K144" i="18" s="1"/>
  <c r="N140" i="18"/>
  <c r="N138" i="18" s="1"/>
  <c r="M140" i="18"/>
  <c r="P140" i="18" s="1"/>
  <c r="L140" i="18"/>
  <c r="P139" i="18"/>
  <c r="O139" i="18"/>
  <c r="N137" i="18"/>
  <c r="M137" i="18"/>
  <c r="P137" i="18" s="1"/>
  <c r="L137" i="18"/>
  <c r="L135" i="18" s="1"/>
  <c r="O135" i="18" s="1"/>
  <c r="P136" i="18"/>
  <c r="O136" i="18"/>
  <c r="N133" i="18"/>
  <c r="M133" i="18"/>
  <c r="L133" i="18"/>
  <c r="J130" i="18"/>
  <c r="N127" i="18"/>
  <c r="N125" i="18" s="1"/>
  <c r="M127" i="18"/>
  <c r="M125" i="18" s="1"/>
  <c r="L127" i="18"/>
  <c r="L125" i="18" s="1"/>
  <c r="P126" i="18"/>
  <c r="O126" i="18"/>
  <c r="N124" i="18"/>
  <c r="N122" i="18" s="1"/>
  <c r="M124" i="18"/>
  <c r="L124" i="18"/>
  <c r="L122" i="18" s="1"/>
  <c r="O122" i="18" s="1"/>
  <c r="P123" i="18"/>
  <c r="O123" i="18"/>
  <c r="O120" i="18"/>
  <c r="N120" i="18"/>
  <c r="M120" i="18"/>
  <c r="L120" i="18"/>
  <c r="I116" i="18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J99" i="18"/>
  <c r="I99" i="18"/>
  <c r="J98" i="18"/>
  <c r="I98" i="18"/>
  <c r="I86" i="18" s="1"/>
  <c r="K86" i="18" s="1"/>
  <c r="N96" i="18"/>
  <c r="M96" i="18"/>
  <c r="L96" i="18"/>
  <c r="P95" i="18"/>
  <c r="O95" i="18"/>
  <c r="N93" i="18"/>
  <c r="N91" i="18" s="1"/>
  <c r="M93" i="18"/>
  <c r="M91" i="18" s="1"/>
  <c r="L93" i="18"/>
  <c r="P92" i="18"/>
  <c r="O92" i="18"/>
  <c r="O89" i="18"/>
  <c r="N89" i="18"/>
  <c r="M89" i="18"/>
  <c r="P89" i="18" s="1"/>
  <c r="L89" i="18"/>
  <c r="J87" i="18"/>
  <c r="J86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J77" i="18"/>
  <c r="J65" i="18" s="1"/>
  <c r="J76" i="18"/>
  <c r="N74" i="18"/>
  <c r="N72" i="18" s="1"/>
  <c r="M74" i="18"/>
  <c r="L74" i="18"/>
  <c r="O74" i="18" s="1"/>
  <c r="P73" i="18"/>
  <c r="O73" i="18"/>
  <c r="N71" i="18"/>
  <c r="N69" i="18" s="1"/>
  <c r="M71" i="18"/>
  <c r="L71" i="18"/>
  <c r="L69" i="18" s="1"/>
  <c r="P70" i="18"/>
  <c r="O70" i="18"/>
  <c r="N67" i="18"/>
  <c r="M67" i="18"/>
  <c r="P67" i="18" s="1"/>
  <c r="L67" i="18"/>
  <c r="J64" i="18"/>
  <c r="N61" i="18"/>
  <c r="M61" i="18"/>
  <c r="M59" i="18" s="1"/>
  <c r="L61" i="18"/>
  <c r="P60" i="18"/>
  <c r="O60" i="18"/>
  <c r="N58" i="18"/>
  <c r="N56" i="18" s="1"/>
  <c r="M58" i="18"/>
  <c r="M56" i="18" s="1"/>
  <c r="L58" i="18"/>
  <c r="P57" i="18"/>
  <c r="O57" i="18"/>
  <c r="P54" i="18"/>
  <c r="O54" i="18"/>
  <c r="N54" i="18"/>
  <c r="M54" i="18"/>
  <c r="L54" i="18"/>
  <c r="N49" i="18"/>
  <c r="N47" i="18" s="1"/>
  <c r="M49" i="18"/>
  <c r="P49" i="18" s="1"/>
  <c r="L49" i="18"/>
  <c r="P48" i="18"/>
  <c r="O48" i="18"/>
  <c r="N46" i="18"/>
  <c r="N44" i="18" s="1"/>
  <c r="M46" i="18"/>
  <c r="M44" i="18" s="1"/>
  <c r="L46" i="18"/>
  <c r="P45" i="18"/>
  <c r="O45" i="18"/>
  <c r="P42" i="18"/>
  <c r="N42" i="18"/>
  <c r="M42" i="18"/>
  <c r="L42" i="18"/>
  <c r="O42" i="18" s="1"/>
  <c r="P36" i="18"/>
  <c r="N36" i="18"/>
  <c r="M36" i="18"/>
  <c r="P35" i="18"/>
  <c r="O35" i="18"/>
  <c r="N35" i="18"/>
  <c r="M35" i="18"/>
  <c r="M34" i="18" s="1"/>
  <c r="L35" i="18"/>
  <c r="P34" i="18"/>
  <c r="N34" i="18"/>
  <c r="N33" i="18"/>
  <c r="N30" i="18" s="1"/>
  <c r="M33" i="18"/>
  <c r="N32" i="18"/>
  <c r="M32" i="18"/>
  <c r="L32" i="18"/>
  <c r="N25" i="18"/>
  <c r="M25" i="18"/>
  <c r="L25" i="18"/>
  <c r="P22" i="18"/>
  <c r="O22" i="18"/>
  <c r="N22" i="18"/>
  <c r="M22" i="18"/>
  <c r="L22" i="18"/>
  <c r="N19" i="18"/>
  <c r="M19" i="18"/>
  <c r="P19" i="18" s="1"/>
  <c r="L19" i="18"/>
  <c r="O19" i="18" s="1"/>
  <c r="N12" i="18"/>
  <c r="M12" i="18"/>
  <c r="P12" i="18" s="1"/>
  <c r="L12" i="18"/>
  <c r="O12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P817" i="17"/>
  <c r="O817" i="17"/>
  <c r="P816" i="17"/>
  <c r="O816" i="17"/>
  <c r="O815" i="17"/>
  <c r="N815" i="17"/>
  <c r="M815" i="17"/>
  <c r="P815" i="17" s="1"/>
  <c r="L815" i="17"/>
  <c r="P810" i="17"/>
  <c r="O810" i="17"/>
  <c r="N810" i="17"/>
  <c r="P809" i="17"/>
  <c r="O809" i="17"/>
  <c r="O808" i="17"/>
  <c r="M808" i="17"/>
  <c r="P808" i="17" s="1"/>
  <c r="L808" i="17"/>
  <c r="P807" i="17"/>
  <c r="M807" i="17"/>
  <c r="L807" i="17"/>
  <c r="O806" i="17"/>
  <c r="N806" i="17"/>
  <c r="M806" i="17"/>
  <c r="P806" i="17" s="1"/>
  <c r="L806" i="17"/>
  <c r="P805" i="17"/>
  <c r="M805" i="17"/>
  <c r="K804" i="17"/>
  <c r="J804" i="17"/>
  <c r="K802" i="17"/>
  <c r="J801" i="17"/>
  <c r="J800" i="17"/>
  <c r="J785" i="17" s="1"/>
  <c r="I800" i="17"/>
  <c r="K800" i="17" s="1"/>
  <c r="P798" i="17"/>
  <c r="O798" i="17"/>
  <c r="P797" i="17"/>
  <c r="O797" i="17"/>
  <c r="P796" i="17"/>
  <c r="N796" i="17"/>
  <c r="M796" i="17"/>
  <c r="L796" i="17"/>
  <c r="O796" i="17" s="1"/>
  <c r="P791" i="17"/>
  <c r="N791" i="17"/>
  <c r="L791" i="17"/>
  <c r="P790" i="17"/>
  <c r="O790" i="17"/>
  <c r="N789" i="17"/>
  <c r="M789" i="17"/>
  <c r="P789" i="17" s="1"/>
  <c r="P788" i="17"/>
  <c r="N788" i="17"/>
  <c r="M788" i="17"/>
  <c r="O787" i="17"/>
  <c r="N787" i="17"/>
  <c r="M787" i="17"/>
  <c r="P787" i="17" s="1"/>
  <c r="L787" i="17"/>
  <c r="N786" i="17"/>
  <c r="I785" i="17"/>
  <c r="K785" i="17" s="1"/>
  <c r="P782" i="17"/>
  <c r="O782" i="17"/>
  <c r="P781" i="17"/>
  <c r="O781" i="17"/>
  <c r="P780" i="17"/>
  <c r="N780" i="17"/>
  <c r="M780" i="17"/>
  <c r="L780" i="17"/>
  <c r="O780" i="17" s="1"/>
  <c r="P775" i="17"/>
  <c r="O775" i="17"/>
  <c r="N775" i="17"/>
  <c r="N772" i="17" s="1"/>
  <c r="P774" i="17"/>
  <c r="O774" i="17"/>
  <c r="P773" i="17"/>
  <c r="N773" i="17"/>
  <c r="M773" i="17"/>
  <c r="L773" i="17"/>
  <c r="O773" i="17" s="1"/>
  <c r="O772" i="17"/>
  <c r="M772" i="17"/>
  <c r="L772" i="17"/>
  <c r="P771" i="17"/>
  <c r="N771" i="17"/>
  <c r="M771" i="17"/>
  <c r="L771" i="17"/>
  <c r="K769" i="17"/>
  <c r="J769" i="17"/>
  <c r="P766" i="17"/>
  <c r="O766" i="17"/>
  <c r="P765" i="17"/>
  <c r="O765" i="17"/>
  <c r="P764" i="17"/>
  <c r="N764" i="17"/>
  <c r="M764" i="17"/>
  <c r="L764" i="17"/>
  <c r="O764" i="17" s="1"/>
  <c r="P759" i="17"/>
  <c r="O759" i="17"/>
  <c r="N759" i="17"/>
  <c r="N756" i="17" s="1"/>
  <c r="P758" i="17"/>
  <c r="O758" i="17"/>
  <c r="P757" i="17"/>
  <c r="N757" i="17"/>
  <c r="M757" i="17"/>
  <c r="L757" i="17"/>
  <c r="O757" i="17" s="1"/>
  <c r="O756" i="17"/>
  <c r="M756" i="17"/>
  <c r="L756" i="17"/>
  <c r="P755" i="17"/>
  <c r="N755" i="17"/>
  <c r="M755" i="17"/>
  <c r="L755" i="17"/>
  <c r="K753" i="17"/>
  <c r="J753" i="17"/>
  <c r="P749" i="17"/>
  <c r="O749" i="17"/>
  <c r="P748" i="17"/>
  <c r="O748" i="17"/>
  <c r="P747" i="17"/>
  <c r="N747" i="17"/>
  <c r="M747" i="17"/>
  <c r="L747" i="17"/>
  <c r="O747" i="17" s="1"/>
  <c r="P742" i="17"/>
  <c r="O742" i="17"/>
  <c r="N742" i="17"/>
  <c r="N739" i="17" s="1"/>
  <c r="P741" i="17"/>
  <c r="O741" i="17"/>
  <c r="P740" i="17"/>
  <c r="N740" i="17"/>
  <c r="M740" i="17"/>
  <c r="L740" i="17"/>
  <c r="O740" i="17" s="1"/>
  <c r="O739" i="17"/>
  <c r="M739" i="17"/>
  <c r="L739" i="17"/>
  <c r="P738" i="17"/>
  <c r="N738" i="17"/>
  <c r="N737" i="17" s="1"/>
  <c r="M738" i="17"/>
  <c r="L738" i="17"/>
  <c r="K736" i="17"/>
  <c r="J736" i="17"/>
  <c r="J729" i="17"/>
  <c r="I729" i="17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P695" i="17"/>
  <c r="N695" i="17"/>
  <c r="M695" i="17"/>
  <c r="L695" i="17"/>
  <c r="O695" i="17" s="1"/>
  <c r="P690" i="17"/>
  <c r="N690" i="17"/>
  <c r="N688" i="17" s="1"/>
  <c r="L690" i="17"/>
  <c r="L688" i="17" s="1"/>
  <c r="O688" i="17" s="1"/>
  <c r="M688" i="17"/>
  <c r="P688" i="17" s="1"/>
  <c r="P687" i="17"/>
  <c r="N687" i="17"/>
  <c r="M687" i="17"/>
  <c r="O686" i="17"/>
  <c r="N686" i="17"/>
  <c r="M686" i="17"/>
  <c r="P686" i="17" s="1"/>
  <c r="L686" i="17"/>
  <c r="N685" i="17"/>
  <c r="J679" i="17"/>
  <c r="J678" i="17"/>
  <c r="I678" i="17"/>
  <c r="K678" i="17" s="1"/>
  <c r="J675" i="17"/>
  <c r="J669" i="17" s="1"/>
  <c r="J654" i="17" s="1"/>
  <c r="I671" i="17"/>
  <c r="K671" i="17" s="1"/>
  <c r="I670" i="17"/>
  <c r="K670" i="17" s="1"/>
  <c r="I669" i="17"/>
  <c r="K673" i="17" s="1"/>
  <c r="P667" i="17"/>
  <c r="O667" i="17"/>
  <c r="P666" i="17"/>
  <c r="O666" i="17"/>
  <c r="O665" i="17"/>
  <c r="N665" i="17"/>
  <c r="M665" i="17"/>
  <c r="P665" i="17" s="1"/>
  <c r="L665" i="17"/>
  <c r="P660" i="17"/>
  <c r="N660" i="17"/>
  <c r="N657" i="17" s="1"/>
  <c r="L660" i="17"/>
  <c r="O660" i="17" s="1"/>
  <c r="P659" i="17"/>
  <c r="O659" i="17"/>
  <c r="P658" i="17"/>
  <c r="N658" i="17"/>
  <c r="M658" i="17"/>
  <c r="M657" i="17"/>
  <c r="P657" i="17" s="1"/>
  <c r="P656" i="17"/>
  <c r="N656" i="17"/>
  <c r="N655" i="17" s="1"/>
  <c r="M656" i="17"/>
  <c r="L656" i="17"/>
  <c r="M655" i="17"/>
  <c r="P655" i="17" s="1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P640" i="17"/>
  <c r="O640" i="17"/>
  <c r="N639" i="17"/>
  <c r="M639" i="17"/>
  <c r="P639" i="17" s="1"/>
  <c r="P634" i="17"/>
  <c r="N634" i="17"/>
  <c r="L634" i="17"/>
  <c r="L632" i="17" s="1"/>
  <c r="O632" i="17" s="1"/>
  <c r="P633" i="17"/>
  <c r="O633" i="17"/>
  <c r="P632" i="17"/>
  <c r="N632" i="17"/>
  <c r="M632" i="17"/>
  <c r="M631" i="17"/>
  <c r="P631" i="17" s="1"/>
  <c r="P630" i="17"/>
  <c r="N630" i="17"/>
  <c r="M630" i="17"/>
  <c r="L630" i="17"/>
  <c r="O630" i="17" s="1"/>
  <c r="M629" i="17"/>
  <c r="P629" i="17" s="1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J593" i="17" s="1"/>
  <c r="J594" i="17"/>
  <c r="I594" i="17"/>
  <c r="K594" i="17" s="1"/>
  <c r="I593" i="17"/>
  <c r="I592" i="17" s="1"/>
  <c r="K592" i="17" s="1"/>
  <c r="J592" i="17"/>
  <c r="J583" i="17"/>
  <c r="J577" i="17" s="1"/>
  <c r="J582" i="17"/>
  <c r="I577" i="17"/>
  <c r="K577" i="17" s="1"/>
  <c r="J576" i="17"/>
  <c r="J559" i="17" s="1"/>
  <c r="J543" i="17" s="1"/>
  <c r="I576" i="17"/>
  <c r="K576" i="17" s="1"/>
  <c r="J569" i="17"/>
  <c r="I569" i="17"/>
  <c r="K569" i="17" s="1"/>
  <c r="J568" i="17"/>
  <c r="I568" i="17"/>
  <c r="K568" i="17" s="1"/>
  <c r="J561" i="17"/>
  <c r="I561" i="17"/>
  <c r="K561" i="17" s="1"/>
  <c r="J560" i="17"/>
  <c r="I560" i="17"/>
  <c r="K560" i="17" s="1"/>
  <c r="P557" i="17"/>
  <c r="L557" i="17"/>
  <c r="O557" i="17" s="1"/>
  <c r="P556" i="17"/>
  <c r="O556" i="17"/>
  <c r="P555" i="17"/>
  <c r="N555" i="17"/>
  <c r="N545" i="17" s="1"/>
  <c r="N544" i="17" s="1"/>
  <c r="M555" i="17"/>
  <c r="L555" i="17"/>
  <c r="O555" i="17" s="1"/>
  <c r="P549" i="17"/>
  <c r="N549" i="17"/>
  <c r="L549" i="17"/>
  <c r="P548" i="17"/>
  <c r="O548" i="17"/>
  <c r="N547" i="17"/>
  <c r="M547" i="17"/>
  <c r="P547" i="17" s="1"/>
  <c r="P546" i="17"/>
  <c r="N546" i="17"/>
  <c r="M546" i="17"/>
  <c r="O545" i="17"/>
  <c r="M545" i="17"/>
  <c r="L545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I522" i="17" s="1"/>
  <c r="K522" i="17" s="1"/>
  <c r="P535" i="17"/>
  <c r="L535" i="17"/>
  <c r="O535" i="17" s="1"/>
  <c r="P534" i="17"/>
  <c r="O534" i="17"/>
  <c r="P533" i="17"/>
  <c r="N533" i="17"/>
  <c r="M533" i="17"/>
  <c r="L533" i="17"/>
  <c r="O533" i="17" s="1"/>
  <c r="P528" i="17"/>
  <c r="N528" i="17"/>
  <c r="L528" i="17"/>
  <c r="P527" i="17"/>
  <c r="O527" i="17"/>
  <c r="N526" i="17"/>
  <c r="M526" i="17"/>
  <c r="P526" i="17" s="1"/>
  <c r="P525" i="17"/>
  <c r="N525" i="17"/>
  <c r="M525" i="17"/>
  <c r="O524" i="17"/>
  <c r="N524" i="17"/>
  <c r="N523" i="17" s="1"/>
  <c r="M524" i="17"/>
  <c r="P524" i="17" s="1"/>
  <c r="L524" i="17"/>
  <c r="P523" i="17"/>
  <c r="M523" i="17"/>
  <c r="K517" i="17"/>
  <c r="J517" i="17"/>
  <c r="J501" i="17" s="1"/>
  <c r="K516" i="17"/>
  <c r="P514" i="17"/>
  <c r="O514" i="17"/>
  <c r="P513" i="17"/>
  <c r="O513" i="17"/>
  <c r="O512" i="17"/>
  <c r="N512" i="17"/>
  <c r="M512" i="17"/>
  <c r="P512" i="17" s="1"/>
  <c r="L512" i="17"/>
  <c r="P507" i="17"/>
  <c r="O507" i="17"/>
  <c r="N507" i="17"/>
  <c r="P506" i="17"/>
  <c r="O506" i="17"/>
  <c r="O505" i="17"/>
  <c r="N505" i="17"/>
  <c r="M505" i="17"/>
  <c r="P505" i="17" s="1"/>
  <c r="L505" i="17"/>
  <c r="P504" i="17"/>
  <c r="N504" i="17"/>
  <c r="M504" i="17"/>
  <c r="L504" i="17"/>
  <c r="O504" i="17" s="1"/>
  <c r="O503" i="17"/>
  <c r="N503" i="17"/>
  <c r="M503" i="17"/>
  <c r="M502" i="17" s="1"/>
  <c r="P502" i="17" s="1"/>
  <c r="L503" i="17"/>
  <c r="L502" i="17" s="1"/>
  <c r="O502" i="17" s="1"/>
  <c r="N502" i="17"/>
  <c r="K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O479" i="17" s="1"/>
  <c r="P478" i="17"/>
  <c r="O478" i="17"/>
  <c r="P477" i="17"/>
  <c r="N477" i="17"/>
  <c r="M477" i="17"/>
  <c r="P472" i="17"/>
  <c r="N472" i="17"/>
  <c r="L472" i="17"/>
  <c r="L470" i="17" s="1"/>
  <c r="O470" i="17" s="1"/>
  <c r="P471" i="17"/>
  <c r="O471" i="17"/>
  <c r="N470" i="17"/>
  <c r="M470" i="17"/>
  <c r="P470" i="17" s="1"/>
  <c r="P469" i="17"/>
  <c r="M469" i="17"/>
  <c r="O468" i="17"/>
  <c r="N468" i="17"/>
  <c r="M468" i="17"/>
  <c r="M467" i="17" s="1"/>
  <c r="P467" i="17" s="1"/>
  <c r="L468" i="17"/>
  <c r="J466" i="17"/>
  <c r="I466" i="17"/>
  <c r="K466" i="17" s="1"/>
  <c r="J465" i="17"/>
  <c r="I465" i="17"/>
  <c r="K465" i="17" s="1"/>
  <c r="I464" i="17"/>
  <c r="I463" i="17"/>
  <c r="I462" i="17"/>
  <c r="K462" i="17" s="1"/>
  <c r="I460" i="17"/>
  <c r="K460" i="17" s="1"/>
  <c r="K458" i="17"/>
  <c r="P456" i="17"/>
  <c r="L456" i="17"/>
  <c r="P455" i="17"/>
  <c r="O455" i="17"/>
  <c r="N454" i="17"/>
  <c r="M454" i="17"/>
  <c r="P454" i="17" s="1"/>
  <c r="P449" i="17"/>
  <c r="N449" i="17"/>
  <c r="L449" i="17"/>
  <c r="L447" i="17" s="1"/>
  <c r="O447" i="17" s="1"/>
  <c r="P448" i="17"/>
  <c r="O448" i="17"/>
  <c r="P447" i="17"/>
  <c r="N447" i="17"/>
  <c r="M447" i="17"/>
  <c r="N446" i="17"/>
  <c r="M446" i="17"/>
  <c r="P446" i="17" s="1"/>
  <c r="P445" i="17"/>
  <c r="N445" i="17"/>
  <c r="M445" i="17"/>
  <c r="M444" i="17" s="1"/>
  <c r="P444" i="17" s="1"/>
  <c r="L445" i="17"/>
  <c r="O445" i="17" s="1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J434" i="17"/>
  <c r="P431" i="17"/>
  <c r="L431" i="17"/>
  <c r="P430" i="17"/>
  <c r="O430" i="17"/>
  <c r="P429" i="17"/>
  <c r="N429" i="17"/>
  <c r="M429" i="17"/>
  <c r="P424" i="17"/>
  <c r="N424" i="17"/>
  <c r="N421" i="17" s="1"/>
  <c r="L424" i="17"/>
  <c r="P423" i="17"/>
  <c r="O423" i="17"/>
  <c r="P422" i="17"/>
  <c r="N422" i="17"/>
  <c r="M422" i="17"/>
  <c r="L422" i="17"/>
  <c r="M421" i="17"/>
  <c r="P421" i="17" s="1"/>
  <c r="P420" i="17"/>
  <c r="N420" i="17"/>
  <c r="M420" i="17"/>
  <c r="L420" i="17"/>
  <c r="O420" i="17" s="1"/>
  <c r="M419" i="17"/>
  <c r="J418" i="17"/>
  <c r="K413" i="17"/>
  <c r="K412" i="17"/>
  <c r="N410" i="17"/>
  <c r="N408" i="17" s="1"/>
  <c r="M410" i="17"/>
  <c r="P410" i="17" s="1"/>
  <c r="L410" i="17"/>
  <c r="O410" i="17" s="1"/>
  <c r="P409" i="17"/>
  <c r="O409" i="17"/>
  <c r="N407" i="17"/>
  <c r="M407" i="17"/>
  <c r="M405" i="17" s="1"/>
  <c r="P405" i="17" s="1"/>
  <c r="L407" i="17"/>
  <c r="O407" i="17" s="1"/>
  <c r="P406" i="17"/>
  <c r="O406" i="17"/>
  <c r="P403" i="17"/>
  <c r="N403" i="17"/>
  <c r="M403" i="17"/>
  <c r="L403" i="17"/>
  <c r="K401" i="17"/>
  <c r="J401" i="17"/>
  <c r="I401" i="17"/>
  <c r="K400" i="17"/>
  <c r="K399" i="17"/>
  <c r="N397" i="17"/>
  <c r="N395" i="17" s="1"/>
  <c r="M397" i="17"/>
  <c r="L397" i="17"/>
  <c r="O397" i="17" s="1"/>
  <c r="P396" i="17"/>
  <c r="O396" i="17"/>
  <c r="N394" i="17"/>
  <c r="N392" i="17" s="1"/>
  <c r="M394" i="17"/>
  <c r="L394" i="17"/>
  <c r="O394" i="17" s="1"/>
  <c r="P393" i="17"/>
  <c r="O393" i="17"/>
  <c r="P390" i="17"/>
  <c r="N390" i="17"/>
  <c r="M390" i="17"/>
  <c r="L390" i="17"/>
  <c r="O390" i="17" s="1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M353" i="17"/>
  <c r="L353" i="17"/>
  <c r="P352" i="17"/>
  <c r="O352" i="17"/>
  <c r="N350" i="17"/>
  <c r="M350" i="17"/>
  <c r="L350" i="17"/>
  <c r="L348" i="17" s="1"/>
  <c r="P349" i="17"/>
  <c r="O349" i="17"/>
  <c r="P346" i="17"/>
  <c r="N346" i="17"/>
  <c r="M346" i="17"/>
  <c r="L346" i="17"/>
  <c r="O346" i="17" s="1"/>
  <c r="J343" i="17"/>
  <c r="J342" i="17"/>
  <c r="J341" i="17"/>
  <c r="J340" i="17"/>
  <c r="I340" i="17"/>
  <c r="J338" i="17"/>
  <c r="I338" i="17"/>
  <c r="N336" i="17"/>
  <c r="N334" i="17" s="1"/>
  <c r="M336" i="17"/>
  <c r="L336" i="17"/>
  <c r="P335" i="17"/>
  <c r="O335" i="17"/>
  <c r="N333" i="17"/>
  <c r="M333" i="17"/>
  <c r="L333" i="17"/>
  <c r="P332" i="17"/>
  <c r="O332" i="17"/>
  <c r="P329" i="17"/>
  <c r="O329" i="17"/>
  <c r="N329" i="17"/>
  <c r="M329" i="17"/>
  <c r="L329" i="17"/>
  <c r="I327" i="17"/>
  <c r="I325" i="17"/>
  <c r="I314" i="17" s="1"/>
  <c r="K314" i="17" s="1"/>
  <c r="N323" i="17"/>
  <c r="N321" i="17" s="1"/>
  <c r="M323" i="17"/>
  <c r="M321" i="17" s="1"/>
  <c r="P321" i="17" s="1"/>
  <c r="L323" i="17"/>
  <c r="P322" i="17"/>
  <c r="O322" i="17"/>
  <c r="N320" i="17"/>
  <c r="M320" i="17"/>
  <c r="P320" i="17" s="1"/>
  <c r="L320" i="17"/>
  <c r="O320" i="17" s="1"/>
  <c r="P319" i="17"/>
  <c r="O319" i="17"/>
  <c r="P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P305" i="17"/>
  <c r="O305" i="17"/>
  <c r="N303" i="17"/>
  <c r="N301" i="17" s="1"/>
  <c r="M303" i="17"/>
  <c r="M301" i="17" s="1"/>
  <c r="L303" i="17"/>
  <c r="P302" i="17"/>
  <c r="O302" i="17"/>
  <c r="P299" i="17"/>
  <c r="N299" i="17"/>
  <c r="M299" i="17"/>
  <c r="L299" i="17"/>
  <c r="O299" i="17" s="1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J275" i="17" s="1"/>
  <c r="I287" i="17"/>
  <c r="K287" i="17" s="1"/>
  <c r="N285" i="17"/>
  <c r="N283" i="17" s="1"/>
  <c r="M285" i="17"/>
  <c r="M283" i="17" s="1"/>
  <c r="P283" i="17" s="1"/>
  <c r="L285" i="17"/>
  <c r="L283" i="17" s="1"/>
  <c r="O283" i="17" s="1"/>
  <c r="P284" i="17"/>
  <c r="O284" i="17"/>
  <c r="N282" i="17"/>
  <c r="M282" i="17"/>
  <c r="M280" i="17" s="1"/>
  <c r="L282" i="17"/>
  <c r="L280" i="17" s="1"/>
  <c r="P281" i="17"/>
  <c r="O281" i="17"/>
  <c r="N278" i="17"/>
  <c r="M278" i="17"/>
  <c r="P278" i="17" s="1"/>
  <c r="L278" i="17"/>
  <c r="O278" i="17" s="1"/>
  <c r="J276" i="17"/>
  <c r="I271" i="17"/>
  <c r="N269" i="17"/>
  <c r="N267" i="17" s="1"/>
  <c r="M269" i="17"/>
  <c r="P269" i="17" s="1"/>
  <c r="L269" i="17"/>
  <c r="O269" i="17" s="1"/>
  <c r="P268" i="17"/>
  <c r="O268" i="17"/>
  <c r="N266" i="17"/>
  <c r="M266" i="17"/>
  <c r="P266" i="17" s="1"/>
  <c r="L266" i="17"/>
  <c r="L264" i="17" s="1"/>
  <c r="P265" i="17"/>
  <c r="O265" i="17"/>
  <c r="P262" i="17"/>
  <c r="O262" i="17"/>
  <c r="N262" i="17"/>
  <c r="M262" i="17"/>
  <c r="L262" i="17"/>
  <c r="J260" i="17"/>
  <c r="K258" i="17"/>
  <c r="K257" i="17"/>
  <c r="I255" i="17"/>
  <c r="I248" i="17" s="1"/>
  <c r="K248" i="17" s="1"/>
  <c r="L253" i="17"/>
  <c r="L252" i="17"/>
  <c r="L251" i="17"/>
  <c r="L250" i="17"/>
  <c r="P249" i="17"/>
  <c r="N249" i="17"/>
  <c r="J248" i="17"/>
  <c r="K247" i="17"/>
  <c r="K246" i="17"/>
  <c r="I244" i="17"/>
  <c r="I237" i="17" s="1"/>
  <c r="L242" i="17"/>
  <c r="L241" i="17"/>
  <c r="L240" i="17"/>
  <c r="L239" i="17"/>
  <c r="P238" i="17"/>
  <c r="N238" i="17"/>
  <c r="J237" i="17"/>
  <c r="J236" i="17"/>
  <c r="I236" i="17"/>
  <c r="K236" i="17" s="1"/>
  <c r="J235" i="17"/>
  <c r="I235" i="17"/>
  <c r="K235" i="17" s="1"/>
  <c r="J233" i="17"/>
  <c r="N231" i="17"/>
  <c r="N230" i="17"/>
  <c r="N229" i="17"/>
  <c r="N228" i="17"/>
  <c r="N227" i="17"/>
  <c r="J226" i="17"/>
  <c r="I225" i="17"/>
  <c r="K225" i="17" s="1"/>
  <c r="I224" i="17"/>
  <c r="I216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L189" i="17"/>
  <c r="O189" i="17" s="1"/>
  <c r="P188" i="17"/>
  <c r="O188" i="17"/>
  <c r="N186" i="17"/>
  <c r="N184" i="17" s="1"/>
  <c r="M186" i="17"/>
  <c r="M184" i="17" s="1"/>
  <c r="L186" i="17"/>
  <c r="L184" i="17" s="1"/>
  <c r="P185" i="17"/>
  <c r="O185" i="17"/>
  <c r="O182" i="17"/>
  <c r="N182" i="17"/>
  <c r="M182" i="17"/>
  <c r="P182" i="17" s="1"/>
  <c r="L182" i="17"/>
  <c r="K180" i="17"/>
  <c r="J180" i="17"/>
  <c r="J177" i="17"/>
  <c r="J164" i="17" s="1"/>
  <c r="I176" i="17"/>
  <c r="K176" i="17" s="1"/>
  <c r="J174" i="17"/>
  <c r="N173" i="17"/>
  <c r="N171" i="17" s="1"/>
  <c r="M173" i="17"/>
  <c r="M171" i="17" s="1"/>
  <c r="P171" i="17" s="1"/>
  <c r="L173" i="17"/>
  <c r="O173" i="17" s="1"/>
  <c r="P172" i="17"/>
  <c r="O172" i="17"/>
  <c r="N170" i="17"/>
  <c r="M170" i="17"/>
  <c r="M168" i="17" s="1"/>
  <c r="L170" i="17"/>
  <c r="L168" i="17" s="1"/>
  <c r="P169" i="17"/>
  <c r="O169" i="17"/>
  <c r="P166" i="17"/>
  <c r="O166" i="17"/>
  <c r="N166" i="17"/>
  <c r="M166" i="17"/>
  <c r="L166" i="17"/>
  <c r="I159" i="17"/>
  <c r="I148" i="17" s="1"/>
  <c r="K148" i="17" s="1"/>
  <c r="N157" i="17"/>
  <c r="N155" i="17" s="1"/>
  <c r="M157" i="17"/>
  <c r="P157" i="17" s="1"/>
  <c r="L157" i="17"/>
  <c r="O157" i="17" s="1"/>
  <c r="P156" i="17"/>
  <c r="O156" i="17"/>
  <c r="N154" i="17"/>
  <c r="N152" i="17" s="1"/>
  <c r="M154" i="17"/>
  <c r="L154" i="17"/>
  <c r="P153" i="17"/>
  <c r="O153" i="17"/>
  <c r="P150" i="17"/>
  <c r="N150" i="17"/>
  <c r="M150" i="17"/>
  <c r="L150" i="17"/>
  <c r="J148" i="17"/>
  <c r="I146" i="17"/>
  <c r="K146" i="17" s="1"/>
  <c r="I145" i="17"/>
  <c r="I144" i="17"/>
  <c r="N140" i="17"/>
  <c r="M140" i="17"/>
  <c r="P140" i="17" s="1"/>
  <c r="L140" i="17"/>
  <c r="L138" i="17" s="1"/>
  <c r="O138" i="17" s="1"/>
  <c r="P139" i="17"/>
  <c r="O139" i="17"/>
  <c r="N137" i="17"/>
  <c r="N135" i="17" s="1"/>
  <c r="M137" i="17"/>
  <c r="P137" i="17" s="1"/>
  <c r="L137" i="17"/>
  <c r="L135" i="17" s="1"/>
  <c r="O135" i="17" s="1"/>
  <c r="P136" i="17"/>
  <c r="O136" i="17"/>
  <c r="O133" i="17"/>
  <c r="N133" i="17"/>
  <c r="M133" i="17"/>
  <c r="P133" i="17" s="1"/>
  <c r="L133" i="17"/>
  <c r="J130" i="17"/>
  <c r="N127" i="17"/>
  <c r="N125" i="17" s="1"/>
  <c r="M127" i="17"/>
  <c r="P127" i="17" s="1"/>
  <c r="L127" i="17"/>
  <c r="P126" i="17"/>
  <c r="O126" i="17"/>
  <c r="N124" i="17"/>
  <c r="M124" i="17"/>
  <c r="L124" i="17"/>
  <c r="P123" i="17"/>
  <c r="O123" i="17"/>
  <c r="P120" i="17"/>
  <c r="O120" i="17"/>
  <c r="N120" i="17"/>
  <c r="M120" i="17"/>
  <c r="L120" i="17"/>
  <c r="I116" i="17"/>
  <c r="K116" i="17" s="1"/>
  <c r="I115" i="17"/>
  <c r="I114" i="17"/>
  <c r="K114" i="17" s="1"/>
  <c r="I113" i="17"/>
  <c r="K113" i="17" s="1"/>
  <c r="J112" i="17"/>
  <c r="J111" i="17"/>
  <c r="I111" i="17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J87" i="17" s="1"/>
  <c r="I99" i="17"/>
  <c r="I87" i="17" s="1"/>
  <c r="K87" i="17" s="1"/>
  <c r="J98" i="17"/>
  <c r="I98" i="17"/>
  <c r="K98" i="17" s="1"/>
  <c r="N96" i="17"/>
  <c r="N94" i="17" s="1"/>
  <c r="M96" i="17"/>
  <c r="M94" i="17" s="1"/>
  <c r="P94" i="17" s="1"/>
  <c r="L96" i="17"/>
  <c r="O96" i="17" s="1"/>
  <c r="P95" i="17"/>
  <c r="O95" i="17"/>
  <c r="N93" i="17"/>
  <c r="M93" i="17"/>
  <c r="M91" i="17" s="1"/>
  <c r="L93" i="17"/>
  <c r="L91" i="17" s="1"/>
  <c r="P92" i="17"/>
  <c r="O92" i="17"/>
  <c r="P89" i="17"/>
  <c r="O89" i="17"/>
  <c r="N89" i="17"/>
  <c r="M89" i="17"/>
  <c r="L89" i="17"/>
  <c r="J86" i="17"/>
  <c r="I84" i="17"/>
  <c r="K84" i="17" s="1"/>
  <c r="I83" i="17"/>
  <c r="K83" i="17" s="1"/>
  <c r="I82" i="17"/>
  <c r="K82" i="17" s="1"/>
  <c r="I81" i="17"/>
  <c r="K81" i="17" s="1"/>
  <c r="I80" i="17"/>
  <c r="I79" i="17"/>
  <c r="K79" i="17" s="1"/>
  <c r="I78" i="17"/>
  <c r="K78" i="17" s="1"/>
  <c r="J77" i="17"/>
  <c r="J65" i="17" s="1"/>
  <c r="J76" i="17"/>
  <c r="J64" i="17" s="1"/>
  <c r="N74" i="17"/>
  <c r="N72" i="17" s="1"/>
  <c r="M74" i="17"/>
  <c r="M72" i="17" s="1"/>
  <c r="P72" i="17" s="1"/>
  <c r="L74" i="17"/>
  <c r="L72" i="17" s="1"/>
  <c r="O72" i="17" s="1"/>
  <c r="P73" i="17"/>
  <c r="O73" i="17"/>
  <c r="N71" i="17"/>
  <c r="N69" i="17" s="1"/>
  <c r="M71" i="17"/>
  <c r="L71" i="17"/>
  <c r="L69" i="17" s="1"/>
  <c r="P70" i="17"/>
  <c r="O70" i="17"/>
  <c r="O67" i="17"/>
  <c r="N67" i="17"/>
  <c r="M67" i="17"/>
  <c r="L67" i="17"/>
  <c r="N61" i="17"/>
  <c r="N59" i="17" s="1"/>
  <c r="M61" i="17"/>
  <c r="P61" i="17" s="1"/>
  <c r="L61" i="17"/>
  <c r="L59" i="17" s="1"/>
  <c r="O59" i="17" s="1"/>
  <c r="P60" i="17"/>
  <c r="O60" i="17"/>
  <c r="N58" i="17"/>
  <c r="N56" i="17" s="1"/>
  <c r="M58" i="17"/>
  <c r="L58" i="17"/>
  <c r="P57" i="17"/>
  <c r="O57" i="17"/>
  <c r="P54" i="17"/>
  <c r="N54" i="17"/>
  <c r="M54" i="17"/>
  <c r="L54" i="17"/>
  <c r="N49" i="17"/>
  <c r="N47" i="17" s="1"/>
  <c r="M49" i="17"/>
  <c r="P49" i="17" s="1"/>
  <c r="L49" i="17"/>
  <c r="L47" i="17" s="1"/>
  <c r="O47" i="17" s="1"/>
  <c r="P48" i="17"/>
  <c r="O48" i="17"/>
  <c r="N46" i="17"/>
  <c r="M46" i="17"/>
  <c r="M44" i="17" s="1"/>
  <c r="L46" i="17"/>
  <c r="L44" i="17" s="1"/>
  <c r="P45" i="17"/>
  <c r="O45" i="17"/>
  <c r="N42" i="17"/>
  <c r="M42" i="17"/>
  <c r="P42" i="17" s="1"/>
  <c r="L42" i="17"/>
  <c r="O42" i="17" s="1"/>
  <c r="P36" i="17"/>
  <c r="N36" i="17"/>
  <c r="M36" i="17"/>
  <c r="O35" i="17"/>
  <c r="N35" i="17"/>
  <c r="N34" i="17" s="1"/>
  <c r="M35" i="17"/>
  <c r="P35" i="17" s="1"/>
  <c r="L35" i="17"/>
  <c r="P34" i="17"/>
  <c r="M34" i="17"/>
  <c r="N33" i="17"/>
  <c r="M33" i="17"/>
  <c r="N32" i="17"/>
  <c r="M32" i="17"/>
  <c r="P32" i="17" s="1"/>
  <c r="L32" i="17"/>
  <c r="N29" i="17"/>
  <c r="M29" i="17"/>
  <c r="P25" i="17"/>
  <c r="O25" i="17"/>
  <c r="N25" i="17"/>
  <c r="M25" i="17"/>
  <c r="L25" i="17"/>
  <c r="N22" i="17"/>
  <c r="M22" i="17"/>
  <c r="P22" i="17" s="1"/>
  <c r="L22" i="17"/>
  <c r="O22" i="17" s="1"/>
  <c r="M15" i="17"/>
  <c r="P15" i="17" s="1"/>
  <c r="L15" i="17"/>
  <c r="O15" i="17" s="1"/>
  <c r="N12" i="17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P817" i="16"/>
  <c r="O817" i="16"/>
  <c r="P816" i="16"/>
  <c r="O816" i="16"/>
  <c r="N815" i="16"/>
  <c r="M815" i="16"/>
  <c r="P815" i="16" s="1"/>
  <c r="L815" i="16"/>
  <c r="O815" i="16" s="1"/>
  <c r="P810" i="16"/>
  <c r="O810" i="16"/>
  <c r="N810" i="16"/>
  <c r="P809" i="16"/>
  <c r="O809" i="16"/>
  <c r="P808" i="16"/>
  <c r="M808" i="16"/>
  <c r="L808" i="16"/>
  <c r="O808" i="16" s="1"/>
  <c r="P807" i="16"/>
  <c r="M807" i="16"/>
  <c r="L807" i="16"/>
  <c r="O807" i="16" s="1"/>
  <c r="P806" i="16"/>
  <c r="O806" i="16"/>
  <c r="N806" i="16"/>
  <c r="M806" i="16"/>
  <c r="L806" i="16"/>
  <c r="L805" i="16" s="1"/>
  <c r="O805" i="16" s="1"/>
  <c r="P805" i="16"/>
  <c r="M805" i="16"/>
  <c r="K804" i="16"/>
  <c r="J804" i="16"/>
  <c r="K802" i="16"/>
  <c r="J801" i="16"/>
  <c r="J800" i="16"/>
  <c r="I800" i="16"/>
  <c r="I785" i="16" s="1"/>
  <c r="K785" i="16" s="1"/>
  <c r="P798" i="16"/>
  <c r="O798" i="16"/>
  <c r="P797" i="16"/>
  <c r="O797" i="16"/>
  <c r="N796" i="16"/>
  <c r="M796" i="16"/>
  <c r="P796" i="16" s="1"/>
  <c r="L796" i="16"/>
  <c r="O796" i="16" s="1"/>
  <c r="P791" i="16"/>
  <c r="N791" i="16"/>
  <c r="N788" i="16" s="1"/>
  <c r="N786" i="16" s="1"/>
  <c r="L791" i="16"/>
  <c r="L788" i="16" s="1"/>
  <c r="O788" i="16" s="1"/>
  <c r="P790" i="16"/>
  <c r="O790" i="16"/>
  <c r="N789" i="16"/>
  <c r="M789" i="16"/>
  <c r="P789" i="16" s="1"/>
  <c r="P788" i="16"/>
  <c r="M788" i="16"/>
  <c r="P787" i="16"/>
  <c r="O787" i="16"/>
  <c r="N787" i="16"/>
  <c r="M787" i="16"/>
  <c r="L787" i="16"/>
  <c r="M786" i="16"/>
  <c r="P786" i="16" s="1"/>
  <c r="J785" i="16"/>
  <c r="P782" i="16"/>
  <c r="O782" i="16"/>
  <c r="P781" i="16"/>
  <c r="O781" i="16"/>
  <c r="P780" i="16"/>
  <c r="O780" i="16"/>
  <c r="N780" i="16"/>
  <c r="M780" i="16"/>
  <c r="L780" i="16"/>
  <c r="P775" i="16"/>
  <c r="O775" i="16"/>
  <c r="N775" i="16"/>
  <c r="P774" i="16"/>
  <c r="O774" i="16"/>
  <c r="N773" i="16"/>
  <c r="M773" i="16"/>
  <c r="P773" i="16" s="1"/>
  <c r="L773" i="16"/>
  <c r="O773" i="16" s="1"/>
  <c r="P772" i="16"/>
  <c r="N772" i="16"/>
  <c r="M772" i="16"/>
  <c r="L772" i="16"/>
  <c r="O772" i="16" s="1"/>
  <c r="P771" i="16"/>
  <c r="O771" i="16"/>
  <c r="N771" i="16"/>
  <c r="M771" i="16"/>
  <c r="M770" i="16" s="1"/>
  <c r="P770" i="16" s="1"/>
  <c r="L771" i="16"/>
  <c r="L770" i="16" s="1"/>
  <c r="O770" i="16"/>
  <c r="N770" i="16"/>
  <c r="K769" i="16"/>
  <c r="J769" i="16"/>
  <c r="P766" i="16"/>
  <c r="O766" i="16"/>
  <c r="P765" i="16"/>
  <c r="O765" i="16"/>
  <c r="P764" i="16"/>
  <c r="O764" i="16"/>
  <c r="N764" i="16"/>
  <c r="M764" i="16"/>
  <c r="L764" i="16"/>
  <c r="P759" i="16"/>
  <c r="O759" i="16"/>
  <c r="N759" i="16"/>
  <c r="P758" i="16"/>
  <c r="O758" i="16"/>
  <c r="N757" i="16"/>
  <c r="M757" i="16"/>
  <c r="P757" i="16" s="1"/>
  <c r="L757" i="16"/>
  <c r="O757" i="16" s="1"/>
  <c r="P756" i="16"/>
  <c r="N756" i="16"/>
  <c r="M756" i="16"/>
  <c r="L756" i="16"/>
  <c r="O756" i="16" s="1"/>
  <c r="P755" i="16"/>
  <c r="O755" i="16"/>
  <c r="N755" i="16"/>
  <c r="M755" i="16"/>
  <c r="M754" i="16" s="1"/>
  <c r="P754" i="16" s="1"/>
  <c r="L755" i="16"/>
  <c r="L754" i="16" s="1"/>
  <c r="O754" i="16"/>
  <c r="N754" i="16"/>
  <c r="K753" i="16"/>
  <c r="J753" i="16"/>
  <c r="P749" i="16"/>
  <c r="O749" i="16"/>
  <c r="P748" i="16"/>
  <c r="O748" i="16"/>
  <c r="P747" i="16"/>
  <c r="O747" i="16"/>
  <c r="N747" i="16"/>
  <c r="M747" i="16"/>
  <c r="L747" i="16"/>
  <c r="P742" i="16"/>
  <c r="O742" i="16"/>
  <c r="N742" i="16"/>
  <c r="P741" i="16"/>
  <c r="O741" i="16"/>
  <c r="N740" i="16"/>
  <c r="M740" i="16"/>
  <c r="P740" i="16" s="1"/>
  <c r="L740" i="16"/>
  <c r="O740" i="16" s="1"/>
  <c r="P739" i="16"/>
  <c r="N739" i="16"/>
  <c r="M739" i="16"/>
  <c r="L739" i="16"/>
  <c r="O739" i="16" s="1"/>
  <c r="P738" i="16"/>
  <c r="O738" i="16"/>
  <c r="N738" i="16"/>
  <c r="M738" i="16"/>
  <c r="M737" i="16" s="1"/>
  <c r="P737" i="16" s="1"/>
  <c r="L738" i="16"/>
  <c r="L737" i="16" s="1"/>
  <c r="O737" i="16"/>
  <c r="N737" i="16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J699" i="16"/>
  <c r="I699" i="16"/>
  <c r="P697" i="16"/>
  <c r="O697" i="16"/>
  <c r="P696" i="16"/>
  <c r="O696" i="16"/>
  <c r="P695" i="16"/>
  <c r="O695" i="16"/>
  <c r="N695" i="16"/>
  <c r="M695" i="16"/>
  <c r="L695" i="16"/>
  <c r="P690" i="16"/>
  <c r="N690" i="16"/>
  <c r="N687" i="16" s="1"/>
  <c r="L690" i="16"/>
  <c r="L688" i="16" s="1"/>
  <c r="O688" i="16" s="1"/>
  <c r="N688" i="16"/>
  <c r="M688" i="16"/>
  <c r="P688" i="16" s="1"/>
  <c r="P687" i="16"/>
  <c r="M687" i="16"/>
  <c r="P686" i="16"/>
  <c r="O686" i="16"/>
  <c r="N686" i="16"/>
  <c r="N685" i="16" s="1"/>
  <c r="M686" i="16"/>
  <c r="L686" i="16"/>
  <c r="M685" i="16"/>
  <c r="P685" i="16" s="1"/>
  <c r="J679" i="16"/>
  <c r="J678" i="16" s="1"/>
  <c r="I678" i="16"/>
  <c r="K678" i="16" s="1"/>
  <c r="J675" i="16"/>
  <c r="I671" i="16"/>
  <c r="K671" i="16" s="1"/>
  <c r="I670" i="16"/>
  <c r="K670" i="16" s="1"/>
  <c r="J669" i="16"/>
  <c r="I669" i="16"/>
  <c r="K673" i="16" s="1"/>
  <c r="P667" i="16"/>
  <c r="O667" i="16"/>
  <c r="P666" i="16"/>
  <c r="O666" i="16"/>
  <c r="P665" i="16"/>
  <c r="O665" i="16"/>
  <c r="N665" i="16"/>
  <c r="M665" i="16"/>
  <c r="L665" i="16"/>
  <c r="P660" i="16"/>
  <c r="N660" i="16"/>
  <c r="N657" i="16" s="1"/>
  <c r="L660" i="16"/>
  <c r="P659" i="16"/>
  <c r="O659" i="16"/>
  <c r="P658" i="16"/>
  <c r="N658" i="16"/>
  <c r="M658" i="16"/>
  <c r="M657" i="16"/>
  <c r="P657" i="16" s="1"/>
  <c r="N656" i="16"/>
  <c r="N655" i="16" s="1"/>
  <c r="M656" i="16"/>
  <c r="P656" i="16" s="1"/>
  <c r="L656" i="16"/>
  <c r="J654" i="16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P640" i="16"/>
  <c r="O640" i="16"/>
  <c r="N639" i="16"/>
  <c r="M639" i="16"/>
  <c r="P639" i="16" s="1"/>
  <c r="P634" i="16"/>
  <c r="N634" i="16"/>
  <c r="L634" i="16"/>
  <c r="O634" i="16" s="1"/>
  <c r="P633" i="16"/>
  <c r="O633" i="16"/>
  <c r="P632" i="16"/>
  <c r="N632" i="16"/>
  <c r="M632" i="16"/>
  <c r="L632" i="16"/>
  <c r="O632" i="16" s="1"/>
  <c r="P631" i="16"/>
  <c r="N631" i="16"/>
  <c r="M631" i="16"/>
  <c r="O630" i="16"/>
  <c r="N630" i="16"/>
  <c r="N629" i="16" s="1"/>
  <c r="M630" i="16"/>
  <c r="P630" i="16" s="1"/>
  <c r="L630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3" i="16" s="1"/>
  <c r="J596" i="16"/>
  <c r="J594" i="16" s="1"/>
  <c r="J595" i="16"/>
  <c r="I594" i="16"/>
  <c r="I593" i="16"/>
  <c r="I592" i="16" s="1"/>
  <c r="J583" i="16"/>
  <c r="J577" i="16" s="1"/>
  <c r="J582" i="16"/>
  <c r="J576" i="16" s="1"/>
  <c r="J559" i="16" s="1"/>
  <c r="J543" i="16" s="1"/>
  <c r="I577" i="16"/>
  <c r="K577" i="16" s="1"/>
  <c r="I576" i="16"/>
  <c r="K576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P557" i="16"/>
  <c r="L557" i="16"/>
  <c r="L555" i="16" s="1"/>
  <c r="O555" i="16" s="1"/>
  <c r="P556" i="16"/>
  <c r="O556" i="16"/>
  <c r="P555" i="16"/>
  <c r="N555" i="16"/>
  <c r="N545" i="16" s="1"/>
  <c r="M555" i="16"/>
  <c r="M545" i="16" s="1"/>
  <c r="P549" i="16"/>
  <c r="N549" i="16"/>
  <c r="L549" i="16"/>
  <c r="P548" i="16"/>
  <c r="O548" i="16"/>
  <c r="N547" i="16"/>
  <c r="M547" i="16"/>
  <c r="P547" i="16" s="1"/>
  <c r="N546" i="16"/>
  <c r="M546" i="16"/>
  <c r="P546" i="16" s="1"/>
  <c r="L545" i="16"/>
  <c r="O545" i="16" s="1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K537" i="16" s="1"/>
  <c r="P535" i="16"/>
  <c r="L535" i="16"/>
  <c r="O535" i="16" s="1"/>
  <c r="P534" i="16"/>
  <c r="O534" i="16"/>
  <c r="N533" i="16"/>
  <c r="M533" i="16"/>
  <c r="P533" i="16" s="1"/>
  <c r="P528" i="16"/>
  <c r="N528" i="16"/>
  <c r="N525" i="16" s="1"/>
  <c r="L528" i="16"/>
  <c r="P527" i="16"/>
  <c r="O527" i="16"/>
  <c r="P526" i="16"/>
  <c r="N526" i="16"/>
  <c r="M526" i="16"/>
  <c r="P525" i="16"/>
  <c r="M525" i="16"/>
  <c r="P524" i="16"/>
  <c r="O524" i="16"/>
  <c r="N524" i="16"/>
  <c r="M524" i="16"/>
  <c r="L524" i="16"/>
  <c r="P523" i="16"/>
  <c r="N523" i="16"/>
  <c r="M523" i="16"/>
  <c r="K517" i="16"/>
  <c r="J517" i="16"/>
  <c r="J501" i="16" s="1"/>
  <c r="K516" i="16"/>
  <c r="P514" i="16"/>
  <c r="O514" i="16"/>
  <c r="P513" i="16"/>
  <c r="O513" i="16"/>
  <c r="P512" i="16"/>
  <c r="N512" i="16"/>
  <c r="M512" i="16"/>
  <c r="L512" i="16"/>
  <c r="O512" i="16" s="1"/>
  <c r="P507" i="16"/>
  <c r="O507" i="16"/>
  <c r="N507" i="16"/>
  <c r="P506" i="16"/>
  <c r="O506" i="16"/>
  <c r="P505" i="16"/>
  <c r="O505" i="16"/>
  <c r="N505" i="16"/>
  <c r="M505" i="16"/>
  <c r="L505" i="16"/>
  <c r="O504" i="16"/>
  <c r="N504" i="16"/>
  <c r="M504" i="16"/>
  <c r="P504" i="16" s="1"/>
  <c r="L504" i="16"/>
  <c r="O503" i="16"/>
  <c r="N503" i="16"/>
  <c r="M503" i="16"/>
  <c r="L503" i="16"/>
  <c r="N502" i="16"/>
  <c r="L502" i="16"/>
  <c r="O502" i="16" s="1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P477" i="16"/>
  <c r="N477" i="16"/>
  <c r="M477" i="16"/>
  <c r="P472" i="16"/>
  <c r="N472" i="16"/>
  <c r="N469" i="16" s="1"/>
  <c r="N467" i="16" s="1"/>
  <c r="L472" i="16"/>
  <c r="O472" i="16" s="1"/>
  <c r="P471" i="16"/>
  <c r="O471" i="16"/>
  <c r="P470" i="16"/>
  <c r="N470" i="16"/>
  <c r="M470" i="16"/>
  <c r="M469" i="16"/>
  <c r="P469" i="16" s="1"/>
  <c r="O468" i="16"/>
  <c r="N468" i="16"/>
  <c r="M468" i="16"/>
  <c r="L468" i="16"/>
  <c r="J466" i="16"/>
  <c r="I466" i="16"/>
  <c r="K466" i="16" s="1"/>
  <c r="J465" i="16"/>
  <c r="I465" i="16"/>
  <c r="K465" i="16" s="1"/>
  <c r="I464" i="16"/>
  <c r="I463" i="16"/>
  <c r="I462" i="16"/>
  <c r="K462" i="16" s="1"/>
  <c r="I460" i="16"/>
  <c r="K460" i="16" s="1"/>
  <c r="K458" i="16"/>
  <c r="P456" i="16"/>
  <c r="L456" i="16"/>
  <c r="P455" i="16"/>
  <c r="O455" i="16"/>
  <c r="N454" i="16"/>
  <c r="M454" i="16"/>
  <c r="P454" i="16" s="1"/>
  <c r="P449" i="16"/>
  <c r="N449" i="16"/>
  <c r="L449" i="16"/>
  <c r="O449" i="16" s="1"/>
  <c r="P448" i="16"/>
  <c r="O448" i="16"/>
  <c r="P447" i="16"/>
  <c r="N447" i="16"/>
  <c r="M447" i="16"/>
  <c r="P446" i="16"/>
  <c r="N446" i="16"/>
  <c r="M446" i="16"/>
  <c r="O445" i="16"/>
  <c r="N445" i="16"/>
  <c r="N444" i="16" s="1"/>
  <c r="M445" i="16"/>
  <c r="L445" i="16"/>
  <c r="J443" i="16"/>
  <c r="J442" i="16"/>
  <c r="I441" i="16"/>
  <c r="K441" i="16" s="1"/>
  <c r="I440" i="16"/>
  <c r="K440" i="16" s="1"/>
  <c r="I439" i="16"/>
  <c r="K439" i="16" s="1"/>
  <c r="I438" i="16"/>
  <c r="K438" i="16" s="1"/>
  <c r="I437" i="16"/>
  <c r="K437" i="16" s="1"/>
  <c r="I435" i="16"/>
  <c r="K435" i="16" s="1"/>
  <c r="J434" i="16"/>
  <c r="P431" i="16"/>
  <c r="L431" i="16"/>
  <c r="P430" i="16"/>
  <c r="O430" i="16"/>
  <c r="N429" i="16"/>
  <c r="M429" i="16"/>
  <c r="P429" i="16" s="1"/>
  <c r="P424" i="16"/>
  <c r="N424" i="16"/>
  <c r="L424" i="16"/>
  <c r="P423" i="16"/>
  <c r="O423" i="16"/>
  <c r="P422" i="16"/>
  <c r="N422" i="16"/>
  <c r="M422" i="16"/>
  <c r="L422" i="16"/>
  <c r="O422" i="16" s="1"/>
  <c r="P421" i="16"/>
  <c r="N421" i="16"/>
  <c r="M421" i="16"/>
  <c r="O420" i="16"/>
  <c r="N420" i="16"/>
  <c r="N419" i="16" s="1"/>
  <c r="M420" i="16"/>
  <c r="L420" i="16"/>
  <c r="J418" i="16"/>
  <c r="K413" i="16"/>
  <c r="K412" i="16"/>
  <c r="N410" i="16"/>
  <c r="N408" i="16" s="1"/>
  <c r="M410" i="16"/>
  <c r="M408" i="16" s="1"/>
  <c r="P408" i="16" s="1"/>
  <c r="L410" i="16"/>
  <c r="P409" i="16"/>
  <c r="O409" i="16"/>
  <c r="N407" i="16"/>
  <c r="N405" i="16" s="1"/>
  <c r="M407" i="16"/>
  <c r="P407" i="16" s="1"/>
  <c r="L407" i="16"/>
  <c r="L405" i="16" s="1"/>
  <c r="O405" i="16" s="1"/>
  <c r="P406" i="16"/>
  <c r="O406" i="16"/>
  <c r="N403" i="16"/>
  <c r="M403" i="16"/>
  <c r="P403" i="16" s="1"/>
  <c r="L403" i="16"/>
  <c r="K401" i="16"/>
  <c r="J401" i="16"/>
  <c r="I401" i="16"/>
  <c r="K400" i="16"/>
  <c r="K399" i="16"/>
  <c r="N397" i="16"/>
  <c r="N395" i="16" s="1"/>
  <c r="M397" i="16"/>
  <c r="L397" i="16"/>
  <c r="O397" i="16" s="1"/>
  <c r="P396" i="16"/>
  <c r="O396" i="16"/>
  <c r="N394" i="16"/>
  <c r="N392" i="16" s="1"/>
  <c r="M394" i="16"/>
  <c r="P394" i="16" s="1"/>
  <c r="L394" i="16"/>
  <c r="O394" i="16" s="1"/>
  <c r="P393" i="16"/>
  <c r="O393" i="16"/>
  <c r="P390" i="16"/>
  <c r="O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P352" i="16"/>
  <c r="O352" i="16"/>
  <c r="N350" i="16"/>
  <c r="M350" i="16"/>
  <c r="M348" i="16" s="1"/>
  <c r="L350" i="16"/>
  <c r="L348" i="16" s="1"/>
  <c r="P349" i="16"/>
  <c r="O349" i="16"/>
  <c r="O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L336" i="16"/>
  <c r="O336" i="16" s="1"/>
  <c r="P335" i="16"/>
  <c r="O335" i="16"/>
  <c r="N333" i="16"/>
  <c r="N331" i="16" s="1"/>
  <c r="M333" i="16"/>
  <c r="M331" i="16" s="1"/>
  <c r="L333" i="16"/>
  <c r="L331" i="16" s="1"/>
  <c r="P332" i="16"/>
  <c r="O332" i="16"/>
  <c r="P329" i="16"/>
  <c r="O329" i="16"/>
  <c r="N329" i="16"/>
  <c r="M329" i="16"/>
  <c r="L329" i="16"/>
  <c r="I327" i="16"/>
  <c r="I325" i="16"/>
  <c r="K325" i="16" s="1"/>
  <c r="N323" i="16"/>
  <c r="N321" i="16" s="1"/>
  <c r="M323" i="16"/>
  <c r="P323" i="16" s="1"/>
  <c r="L323" i="16"/>
  <c r="O323" i="16" s="1"/>
  <c r="P322" i="16"/>
  <c r="O322" i="16"/>
  <c r="N320" i="16"/>
  <c r="N318" i="16" s="1"/>
  <c r="M320" i="16"/>
  <c r="M318" i="16" s="1"/>
  <c r="P318" i="16" s="1"/>
  <c r="L320" i="16"/>
  <c r="O320" i="16" s="1"/>
  <c r="P319" i="16"/>
  <c r="O319" i="16"/>
  <c r="P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I297" i="16" s="1"/>
  <c r="K297" i="16" s="1"/>
  <c r="N306" i="16"/>
  <c r="N304" i="16" s="1"/>
  <c r="M306" i="16"/>
  <c r="L306" i="16"/>
  <c r="L304" i="16" s="1"/>
  <c r="O304" i="16" s="1"/>
  <c r="P305" i="16"/>
  <c r="O305" i="16"/>
  <c r="N303" i="16"/>
  <c r="N301" i="16" s="1"/>
  <c r="M303" i="16"/>
  <c r="L303" i="16"/>
  <c r="P302" i="16"/>
  <c r="O302" i="16"/>
  <c r="P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75" i="16" s="1"/>
  <c r="I287" i="16"/>
  <c r="K287" i="16" s="1"/>
  <c r="N285" i="16"/>
  <c r="N283" i="16" s="1"/>
  <c r="M285" i="16"/>
  <c r="L285" i="16"/>
  <c r="O285" i="16" s="1"/>
  <c r="P284" i="16"/>
  <c r="O284" i="16"/>
  <c r="N282" i="16"/>
  <c r="N280" i="16" s="1"/>
  <c r="M282" i="16"/>
  <c r="L282" i="16"/>
  <c r="L280" i="16" s="1"/>
  <c r="P281" i="16"/>
  <c r="O281" i="16"/>
  <c r="N278" i="16"/>
  <c r="M278" i="16"/>
  <c r="L278" i="16"/>
  <c r="O278" i="16" s="1"/>
  <c r="J276" i="16"/>
  <c r="I271" i="16"/>
  <c r="I260" i="16" s="1"/>
  <c r="K260" i="16" s="1"/>
  <c r="N269" i="16"/>
  <c r="N267" i="16" s="1"/>
  <c r="M269" i="16"/>
  <c r="P269" i="16" s="1"/>
  <c r="L269" i="16"/>
  <c r="P268" i="16"/>
  <c r="O268" i="16"/>
  <c r="N266" i="16"/>
  <c r="N264" i="16" s="1"/>
  <c r="M266" i="16"/>
  <c r="P266" i="16" s="1"/>
  <c r="L266" i="16"/>
  <c r="P265" i="16"/>
  <c r="O265" i="16"/>
  <c r="P262" i="16"/>
  <c r="N262" i="16"/>
  <c r="M262" i="16"/>
  <c r="L262" i="16"/>
  <c r="J260" i="16"/>
  <c r="K258" i="16"/>
  <c r="K257" i="16"/>
  <c r="I255" i="16"/>
  <c r="L253" i="16"/>
  <c r="L252" i="16"/>
  <c r="L251" i="16"/>
  <c r="L250" i="16"/>
  <c r="P249" i="16"/>
  <c r="N249" i="16"/>
  <c r="N227" i="16" s="1"/>
  <c r="J248" i="16"/>
  <c r="K247" i="16"/>
  <c r="K246" i="16"/>
  <c r="I244" i="16"/>
  <c r="K244" i="16" s="1"/>
  <c r="L242" i="16"/>
  <c r="L241" i="16"/>
  <c r="L240" i="16"/>
  <c r="L239" i="16"/>
  <c r="P238" i="16"/>
  <c r="N238" i="16"/>
  <c r="J237" i="16"/>
  <c r="J226" i="16" s="1"/>
  <c r="J180" i="16" s="1"/>
  <c r="K236" i="16"/>
  <c r="J236" i="16"/>
  <c r="I236" i="16"/>
  <c r="K235" i="16"/>
  <c r="J235" i="16"/>
  <c r="I235" i="16"/>
  <c r="J233" i="16"/>
  <c r="N231" i="16"/>
  <c r="N230" i="16"/>
  <c r="N229" i="16"/>
  <c r="N228" i="16"/>
  <c r="I225" i="16"/>
  <c r="K225" i="16" s="1"/>
  <c r="I224" i="16"/>
  <c r="I216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L189" i="16"/>
  <c r="O189" i="16" s="1"/>
  <c r="P188" i="16"/>
  <c r="O188" i="16"/>
  <c r="N186" i="16"/>
  <c r="M186" i="16"/>
  <c r="M184" i="16" s="1"/>
  <c r="L186" i="16"/>
  <c r="L184" i="16" s="1"/>
  <c r="P185" i="16"/>
  <c r="O185" i="16"/>
  <c r="P182" i="16"/>
  <c r="O182" i="16"/>
  <c r="N182" i="16"/>
  <c r="M182" i="16"/>
  <c r="L182" i="16"/>
  <c r="K180" i="16"/>
  <c r="J177" i="16"/>
  <c r="J164" i="16" s="1"/>
  <c r="I176" i="16"/>
  <c r="I174" i="16" s="1"/>
  <c r="I164" i="16" s="1"/>
  <c r="K164" i="16" s="1"/>
  <c r="J174" i="16"/>
  <c r="N173" i="16"/>
  <c r="N171" i="16" s="1"/>
  <c r="M173" i="16"/>
  <c r="M171" i="16" s="1"/>
  <c r="P171" i="16" s="1"/>
  <c r="L173" i="16"/>
  <c r="O173" i="16" s="1"/>
  <c r="P172" i="16"/>
  <c r="O172" i="16"/>
  <c r="N170" i="16"/>
  <c r="N168" i="16" s="1"/>
  <c r="M170" i="16"/>
  <c r="M168" i="16" s="1"/>
  <c r="L170" i="16"/>
  <c r="P169" i="16"/>
  <c r="O169" i="16"/>
  <c r="N166" i="16"/>
  <c r="M166" i="16"/>
  <c r="P166" i="16" s="1"/>
  <c r="L166" i="16"/>
  <c r="O166" i="16" s="1"/>
  <c r="I159" i="16"/>
  <c r="I148" i="16" s="1"/>
  <c r="K148" i="16" s="1"/>
  <c r="N157" i="16"/>
  <c r="N155" i="16" s="1"/>
  <c r="M157" i="16"/>
  <c r="P157" i="16" s="1"/>
  <c r="L157" i="16"/>
  <c r="O157" i="16" s="1"/>
  <c r="P156" i="16"/>
  <c r="O156" i="16"/>
  <c r="N154" i="16"/>
  <c r="M154" i="16"/>
  <c r="L154" i="16"/>
  <c r="L152" i="16" s="1"/>
  <c r="P153" i="16"/>
  <c r="O153" i="16"/>
  <c r="P150" i="16"/>
  <c r="O150" i="16"/>
  <c r="N150" i="16"/>
  <c r="M150" i="16"/>
  <c r="L150" i="16"/>
  <c r="J148" i="16"/>
  <c r="I146" i="16"/>
  <c r="K146" i="16" s="1"/>
  <c r="I145" i="16"/>
  <c r="K145" i="16" s="1"/>
  <c r="I144" i="16"/>
  <c r="N140" i="16"/>
  <c r="N138" i="16" s="1"/>
  <c r="M140" i="16"/>
  <c r="P140" i="16" s="1"/>
  <c r="L140" i="16"/>
  <c r="L138" i="16" s="1"/>
  <c r="O138" i="16" s="1"/>
  <c r="P139" i="16"/>
  <c r="O139" i="16"/>
  <c r="N137" i="16"/>
  <c r="M137" i="16"/>
  <c r="P137" i="16" s="1"/>
  <c r="L137" i="16"/>
  <c r="L135" i="16" s="1"/>
  <c r="O135" i="16" s="1"/>
  <c r="P136" i="16"/>
  <c r="O136" i="16"/>
  <c r="N133" i="16"/>
  <c r="M133" i="16"/>
  <c r="P133" i="16" s="1"/>
  <c r="L133" i="16"/>
  <c r="O133" i="16" s="1"/>
  <c r="J130" i="16"/>
  <c r="N127" i="16"/>
  <c r="M127" i="16"/>
  <c r="P127" i="16" s="1"/>
  <c r="L127" i="16"/>
  <c r="O127" i="16" s="1"/>
  <c r="P126" i="16"/>
  <c r="O126" i="16"/>
  <c r="N124" i="16"/>
  <c r="N122" i="16" s="1"/>
  <c r="M124" i="16"/>
  <c r="P124" i="16" s="1"/>
  <c r="L124" i="16"/>
  <c r="O124" i="16" s="1"/>
  <c r="P123" i="16"/>
  <c r="O123" i="16"/>
  <c r="P120" i="16"/>
  <c r="O120" i="16"/>
  <c r="N120" i="16"/>
  <c r="M120" i="16"/>
  <c r="L120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J87" i="16" s="1"/>
  <c r="I99" i="16"/>
  <c r="I87" i="16" s="1"/>
  <c r="K87" i="16" s="1"/>
  <c r="J98" i="16"/>
  <c r="I98" i="16"/>
  <c r="K98" i="16" s="1"/>
  <c r="N96" i="16"/>
  <c r="N94" i="16" s="1"/>
  <c r="M96" i="16"/>
  <c r="M94" i="16" s="1"/>
  <c r="P94" i="16" s="1"/>
  <c r="L96" i="16"/>
  <c r="O96" i="16" s="1"/>
  <c r="P95" i="16"/>
  <c r="O95" i="16"/>
  <c r="N93" i="16"/>
  <c r="N91" i="16" s="1"/>
  <c r="M93" i="16"/>
  <c r="M91" i="16" s="1"/>
  <c r="L93" i="16"/>
  <c r="P92" i="16"/>
  <c r="O92" i="16"/>
  <c r="P89" i="16"/>
  <c r="O89" i="16"/>
  <c r="N89" i="16"/>
  <c r="M89" i="16"/>
  <c r="L89" i="16"/>
  <c r="J86" i="16"/>
  <c r="I84" i="16"/>
  <c r="K84" i="16" s="1"/>
  <c r="I83" i="16"/>
  <c r="I82" i="16"/>
  <c r="K82" i="16" s="1"/>
  <c r="I81" i="16"/>
  <c r="K81" i="16" s="1"/>
  <c r="I80" i="16"/>
  <c r="I79" i="16"/>
  <c r="K79" i="16" s="1"/>
  <c r="I78" i="16"/>
  <c r="K78" i="16" s="1"/>
  <c r="J77" i="16"/>
  <c r="J65" i="16" s="1"/>
  <c r="J76" i="16"/>
  <c r="N74" i="16"/>
  <c r="N72" i="16" s="1"/>
  <c r="M74" i="16"/>
  <c r="M72" i="16" s="1"/>
  <c r="P72" i="16" s="1"/>
  <c r="L74" i="16"/>
  <c r="L72" i="16" s="1"/>
  <c r="O72" i="16" s="1"/>
  <c r="P73" i="16"/>
  <c r="O73" i="16"/>
  <c r="N71" i="16"/>
  <c r="N69" i="16" s="1"/>
  <c r="M71" i="16"/>
  <c r="M69" i="16" s="1"/>
  <c r="P69" i="16" s="1"/>
  <c r="L71" i="16"/>
  <c r="L69" i="16" s="1"/>
  <c r="O69" i="16" s="1"/>
  <c r="P70" i="16"/>
  <c r="O70" i="16"/>
  <c r="O67" i="16"/>
  <c r="N67" i="16"/>
  <c r="M67" i="16"/>
  <c r="P67" i="16" s="1"/>
  <c r="L67" i="16"/>
  <c r="J64" i="16"/>
  <c r="N61" i="16"/>
  <c r="N59" i="16" s="1"/>
  <c r="M61" i="16"/>
  <c r="M59" i="16" s="1"/>
  <c r="L61" i="16"/>
  <c r="L59" i="16" s="1"/>
  <c r="P60" i="16"/>
  <c r="O60" i="16"/>
  <c r="N58" i="16"/>
  <c r="N56" i="16" s="1"/>
  <c r="M58" i="16"/>
  <c r="L58" i="16"/>
  <c r="L56" i="16" s="1"/>
  <c r="P57" i="16"/>
  <c r="O57" i="16"/>
  <c r="P54" i="16"/>
  <c r="N54" i="16"/>
  <c r="M54" i="16"/>
  <c r="L54" i="16"/>
  <c r="O54" i="16" s="1"/>
  <c r="N49" i="16"/>
  <c r="N47" i="16" s="1"/>
  <c r="M49" i="16"/>
  <c r="M47" i="16" s="1"/>
  <c r="P47" i="16" s="1"/>
  <c r="L49" i="16"/>
  <c r="L47" i="16" s="1"/>
  <c r="O47" i="16" s="1"/>
  <c r="P48" i="16"/>
  <c r="O48" i="16"/>
  <c r="N46" i="16"/>
  <c r="N44" i="16" s="1"/>
  <c r="M46" i="16"/>
  <c r="M44" i="16" s="1"/>
  <c r="L46" i="16"/>
  <c r="L44" i="16" s="1"/>
  <c r="P45" i="16"/>
  <c r="O45" i="16"/>
  <c r="O42" i="16"/>
  <c r="N42" i="16"/>
  <c r="M42" i="16"/>
  <c r="P42" i="16" s="1"/>
  <c r="L42" i="16"/>
  <c r="P36" i="16"/>
  <c r="N36" i="16"/>
  <c r="M36" i="16"/>
  <c r="P35" i="16"/>
  <c r="O35" i="16"/>
  <c r="N35" i="16"/>
  <c r="M35" i="16"/>
  <c r="L35" i="16"/>
  <c r="P34" i="16"/>
  <c r="N34" i="16"/>
  <c r="M34" i="16"/>
  <c r="N33" i="16"/>
  <c r="N30" i="16" s="1"/>
  <c r="M33" i="16"/>
  <c r="P33" i="16" s="1"/>
  <c r="N32" i="16"/>
  <c r="N29" i="16" s="1"/>
  <c r="M32" i="16"/>
  <c r="P32" i="16" s="1"/>
  <c r="L32" i="16"/>
  <c r="O32" i="16" s="1"/>
  <c r="N25" i="16"/>
  <c r="N15" i="16" s="1"/>
  <c r="M25" i="16"/>
  <c r="P25" i="16" s="1"/>
  <c r="L25" i="16"/>
  <c r="O25" i="16" s="1"/>
  <c r="P22" i="16"/>
  <c r="O22" i="16"/>
  <c r="N22" i="16"/>
  <c r="M22" i="16"/>
  <c r="L22" i="16"/>
  <c r="N19" i="16"/>
  <c r="M19" i="16"/>
  <c r="P19" i="16" s="1"/>
  <c r="L19" i="16"/>
  <c r="O19" i="16" s="1"/>
  <c r="N12" i="16"/>
  <c r="M12" i="16"/>
  <c r="P12" i="16" s="1"/>
  <c r="L12" i="16"/>
  <c r="O12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P817" i="15"/>
  <c r="O817" i="15"/>
  <c r="P816" i="15"/>
  <c r="O816" i="15"/>
  <c r="N815" i="15"/>
  <c r="M815" i="15"/>
  <c r="P815" i="15" s="1"/>
  <c r="L815" i="15"/>
  <c r="O815" i="15" s="1"/>
  <c r="P810" i="15"/>
  <c r="O810" i="15"/>
  <c r="N810" i="15"/>
  <c r="P809" i="15"/>
  <c r="O809" i="15"/>
  <c r="M808" i="15"/>
  <c r="P808" i="15" s="1"/>
  <c r="L808" i="15"/>
  <c r="O808" i="15" s="1"/>
  <c r="M807" i="15"/>
  <c r="M805" i="15" s="1"/>
  <c r="P805" i="15" s="1"/>
  <c r="L807" i="15"/>
  <c r="N806" i="15"/>
  <c r="M806" i="15"/>
  <c r="P806" i="15" s="1"/>
  <c r="L806" i="15"/>
  <c r="O806" i="15" s="1"/>
  <c r="K804" i="15"/>
  <c r="J804" i="15"/>
  <c r="K802" i="15"/>
  <c r="J801" i="15"/>
  <c r="J800" i="15"/>
  <c r="J785" i="15" s="1"/>
  <c r="I800" i="15"/>
  <c r="K800" i="15" s="1"/>
  <c r="P798" i="15"/>
  <c r="O798" i="15"/>
  <c r="P797" i="15"/>
  <c r="O797" i="15"/>
  <c r="N796" i="15"/>
  <c r="M796" i="15"/>
  <c r="P796" i="15" s="1"/>
  <c r="L796" i="15"/>
  <c r="O796" i="15" s="1"/>
  <c r="P791" i="15"/>
  <c r="N791" i="15"/>
  <c r="N789" i="15" s="1"/>
  <c r="L791" i="15"/>
  <c r="P790" i="15"/>
  <c r="O790" i="15"/>
  <c r="M789" i="15"/>
  <c r="P789" i="15" s="1"/>
  <c r="M788" i="15"/>
  <c r="P788" i="15" s="1"/>
  <c r="N787" i="15"/>
  <c r="M787" i="15"/>
  <c r="P787" i="15" s="1"/>
  <c r="L787" i="15"/>
  <c r="O787" i="15" s="1"/>
  <c r="P782" i="15"/>
  <c r="O782" i="15"/>
  <c r="P781" i="15"/>
  <c r="O781" i="15"/>
  <c r="N780" i="15"/>
  <c r="M780" i="15"/>
  <c r="P780" i="15" s="1"/>
  <c r="L780" i="15"/>
  <c r="O780" i="15" s="1"/>
  <c r="P775" i="15"/>
  <c r="O775" i="15"/>
  <c r="N775" i="15"/>
  <c r="N772" i="15" s="1"/>
  <c r="P774" i="15"/>
  <c r="O774" i="15"/>
  <c r="M773" i="15"/>
  <c r="P773" i="15" s="1"/>
  <c r="L773" i="15"/>
  <c r="O773" i="15" s="1"/>
  <c r="M772" i="15"/>
  <c r="L772" i="15"/>
  <c r="O772" i="15" s="1"/>
  <c r="N771" i="15"/>
  <c r="M771" i="15"/>
  <c r="P771" i="15" s="1"/>
  <c r="L771" i="15"/>
  <c r="K769" i="15"/>
  <c r="J769" i="15"/>
  <c r="P766" i="15"/>
  <c r="O766" i="15"/>
  <c r="P765" i="15"/>
  <c r="O765" i="15"/>
  <c r="N764" i="15"/>
  <c r="M764" i="15"/>
  <c r="P764" i="15" s="1"/>
  <c r="L764" i="15"/>
  <c r="O764" i="15" s="1"/>
  <c r="P759" i="15"/>
  <c r="O759" i="15"/>
  <c r="N759" i="15"/>
  <c r="N756" i="15" s="1"/>
  <c r="P758" i="15"/>
  <c r="O758" i="15"/>
  <c r="M757" i="15"/>
  <c r="P757" i="15" s="1"/>
  <c r="L757" i="15"/>
  <c r="O757" i="15" s="1"/>
  <c r="M756" i="15"/>
  <c r="L756" i="15"/>
  <c r="O756" i="15" s="1"/>
  <c r="N755" i="15"/>
  <c r="M755" i="15"/>
  <c r="P755" i="15" s="1"/>
  <c r="L755" i="15"/>
  <c r="K753" i="15"/>
  <c r="J753" i="15"/>
  <c r="P749" i="15"/>
  <c r="O749" i="15"/>
  <c r="P748" i="15"/>
  <c r="O748" i="15"/>
  <c r="N747" i="15"/>
  <c r="M747" i="15"/>
  <c r="P747" i="15" s="1"/>
  <c r="L747" i="15"/>
  <c r="O747" i="15" s="1"/>
  <c r="P742" i="15"/>
  <c r="O742" i="15"/>
  <c r="N742" i="15"/>
  <c r="N739" i="15" s="1"/>
  <c r="P741" i="15"/>
  <c r="O741" i="15"/>
  <c r="N740" i="15"/>
  <c r="M740" i="15"/>
  <c r="P740" i="15" s="1"/>
  <c r="L740" i="15"/>
  <c r="O740" i="15" s="1"/>
  <c r="M739" i="15"/>
  <c r="L739" i="15"/>
  <c r="O739" i="15" s="1"/>
  <c r="N738" i="15"/>
  <c r="N737" i="15" s="1"/>
  <c r="M738" i="15"/>
  <c r="P738" i="15" s="1"/>
  <c r="L738" i="15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N695" i="15"/>
  <c r="M695" i="15"/>
  <c r="P695" i="15" s="1"/>
  <c r="L695" i="15"/>
  <c r="O695" i="15" s="1"/>
  <c r="P690" i="15"/>
  <c r="N690" i="15"/>
  <c r="N688" i="15" s="1"/>
  <c r="L688" i="15"/>
  <c r="O688" i="15" s="1"/>
  <c r="M688" i="15"/>
  <c r="P688" i="15" s="1"/>
  <c r="N687" i="15"/>
  <c r="M687" i="15"/>
  <c r="P687" i="15" s="1"/>
  <c r="N686" i="15"/>
  <c r="M686" i="15"/>
  <c r="P686" i="15" s="1"/>
  <c r="L686" i="15"/>
  <c r="O686" i="15" s="1"/>
  <c r="J679" i="15"/>
  <c r="J678" i="15" s="1"/>
  <c r="I678" i="15"/>
  <c r="K678" i="15" s="1"/>
  <c r="J675" i="15"/>
  <c r="J669" i="15" s="1"/>
  <c r="J654" i="15" s="1"/>
  <c r="I671" i="15"/>
  <c r="K671" i="15" s="1"/>
  <c r="I670" i="15"/>
  <c r="K670" i="15" s="1"/>
  <c r="I669" i="15"/>
  <c r="K672" i="15" s="1"/>
  <c r="P667" i="15"/>
  <c r="O667" i="15"/>
  <c r="P666" i="15"/>
  <c r="O666" i="15"/>
  <c r="N665" i="15"/>
  <c r="M665" i="15"/>
  <c r="P665" i="15" s="1"/>
  <c r="L665" i="15"/>
  <c r="O665" i="15" s="1"/>
  <c r="P660" i="15"/>
  <c r="N660" i="15"/>
  <c r="N657" i="15" s="1"/>
  <c r="P659" i="15"/>
  <c r="O659" i="15"/>
  <c r="M658" i="15"/>
  <c r="P658" i="15" s="1"/>
  <c r="M657" i="15"/>
  <c r="P657" i="15" s="1"/>
  <c r="N656" i="15"/>
  <c r="M656" i="15"/>
  <c r="P656" i="15" s="1"/>
  <c r="L656" i="15"/>
  <c r="M655" i="15"/>
  <c r="P655" i="15" s="1"/>
  <c r="K652" i="15"/>
  <c r="J652" i="15"/>
  <c r="J651" i="15"/>
  <c r="J628" i="15" s="1"/>
  <c r="I651" i="15"/>
  <c r="I628" i="15" s="1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P640" i="15"/>
  <c r="O640" i="15"/>
  <c r="N639" i="15"/>
  <c r="M639" i="15"/>
  <c r="P639" i="15" s="1"/>
  <c r="P634" i="15"/>
  <c r="N634" i="15"/>
  <c r="L634" i="15"/>
  <c r="O634" i="15" s="1"/>
  <c r="P633" i="15"/>
  <c r="O633" i="15"/>
  <c r="P632" i="15"/>
  <c r="N632" i="15"/>
  <c r="M632" i="15"/>
  <c r="L632" i="15"/>
  <c r="O632" i="15" s="1"/>
  <c r="N631" i="15"/>
  <c r="M631" i="15"/>
  <c r="P631" i="15" s="1"/>
  <c r="P630" i="15"/>
  <c r="N630" i="15"/>
  <c r="N629" i="15" s="1"/>
  <c r="M630" i="15"/>
  <c r="M629" i="15" s="1"/>
  <c r="P629" i="15" s="1"/>
  <c r="L630" i="15"/>
  <c r="O630" i="15" s="1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5" i="15"/>
  <c r="J594" i="15"/>
  <c r="I594" i="15"/>
  <c r="J593" i="15"/>
  <c r="I593" i="15"/>
  <c r="I592" i="15" s="1"/>
  <c r="K592" i="15" s="1"/>
  <c r="J592" i="15"/>
  <c r="J583" i="15"/>
  <c r="J577" i="15" s="1"/>
  <c r="J582" i="15"/>
  <c r="J576" i="15" s="1"/>
  <c r="J559" i="15" s="1"/>
  <c r="J543" i="15" s="1"/>
  <c r="I577" i="15"/>
  <c r="K577" i="15" s="1"/>
  <c r="I576" i="15"/>
  <c r="K576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P557" i="15"/>
  <c r="L557" i="15"/>
  <c r="P556" i="15"/>
  <c r="O556" i="15"/>
  <c r="N555" i="15"/>
  <c r="N545" i="15" s="1"/>
  <c r="M555" i="15"/>
  <c r="M545" i="15" s="1"/>
  <c r="P549" i="15"/>
  <c r="N549" i="15"/>
  <c r="L549" i="15"/>
  <c r="O549" i="15" s="1"/>
  <c r="P548" i="15"/>
  <c r="O548" i="15"/>
  <c r="N547" i="15"/>
  <c r="M547" i="15"/>
  <c r="P547" i="15" s="1"/>
  <c r="P546" i="15"/>
  <c r="N546" i="15"/>
  <c r="M546" i="15"/>
  <c r="O545" i="15"/>
  <c r="L545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I522" i="15" s="1"/>
  <c r="K522" i="15" s="1"/>
  <c r="P535" i="15"/>
  <c r="L535" i="15"/>
  <c r="O535" i="15" s="1"/>
  <c r="P534" i="15"/>
  <c r="O534" i="15"/>
  <c r="P533" i="15"/>
  <c r="N533" i="15"/>
  <c r="M533" i="15"/>
  <c r="P528" i="15"/>
  <c r="N528" i="15"/>
  <c r="L528" i="15"/>
  <c r="P527" i="15"/>
  <c r="O527" i="15"/>
  <c r="P526" i="15"/>
  <c r="N526" i="15"/>
  <c r="M526" i="15"/>
  <c r="P525" i="15"/>
  <c r="N525" i="15"/>
  <c r="M525" i="15"/>
  <c r="O524" i="15"/>
  <c r="N524" i="15"/>
  <c r="N523" i="15" s="1"/>
  <c r="M524" i="15"/>
  <c r="P524" i="15" s="1"/>
  <c r="L524" i="15"/>
  <c r="M523" i="15"/>
  <c r="P523" i="15" s="1"/>
  <c r="K517" i="15"/>
  <c r="J517" i="15"/>
  <c r="J501" i="15" s="1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P506" i="15"/>
  <c r="O506" i="15"/>
  <c r="O505" i="15"/>
  <c r="N505" i="15"/>
  <c r="M505" i="15"/>
  <c r="P505" i="15" s="1"/>
  <c r="L505" i="15"/>
  <c r="P504" i="15"/>
  <c r="N504" i="15"/>
  <c r="M504" i="15"/>
  <c r="L504" i="15"/>
  <c r="O504" i="15" s="1"/>
  <c r="N503" i="15"/>
  <c r="M503" i="15"/>
  <c r="M502" i="15" s="1"/>
  <c r="P502" i="15" s="1"/>
  <c r="L503" i="15"/>
  <c r="L502" i="15" s="1"/>
  <c r="O502" i="15" s="1"/>
  <c r="N502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P477" i="15"/>
  <c r="N477" i="15"/>
  <c r="M477" i="15"/>
  <c r="P472" i="15"/>
  <c r="N472" i="15"/>
  <c r="L472" i="15"/>
  <c r="L470" i="15" s="1"/>
  <c r="P471" i="15"/>
  <c r="O471" i="15"/>
  <c r="M470" i="15"/>
  <c r="P470" i="15" s="1"/>
  <c r="P469" i="15"/>
  <c r="N469" i="15"/>
  <c r="M469" i="15"/>
  <c r="N468" i="15"/>
  <c r="M468" i="15"/>
  <c r="L468" i="15"/>
  <c r="N467" i="15"/>
  <c r="J466" i="15"/>
  <c r="I466" i="15"/>
  <c r="K466" i="15" s="1"/>
  <c r="J465" i="15"/>
  <c r="I465" i="15"/>
  <c r="K465" i="15" s="1"/>
  <c r="I464" i="15"/>
  <c r="I463" i="15"/>
  <c r="I462" i="15"/>
  <c r="I460" i="15"/>
  <c r="K460" i="15" s="1"/>
  <c r="K458" i="15"/>
  <c r="P456" i="15"/>
  <c r="L456" i="15"/>
  <c r="P455" i="15"/>
  <c r="O455" i="15"/>
  <c r="P454" i="15"/>
  <c r="N454" i="15"/>
  <c r="M454" i="15"/>
  <c r="P449" i="15"/>
  <c r="N449" i="15"/>
  <c r="L449" i="15"/>
  <c r="O449" i="15" s="1"/>
  <c r="P448" i="15"/>
  <c r="O448" i="15"/>
  <c r="P447" i="15"/>
  <c r="N447" i="15"/>
  <c r="M447" i="15"/>
  <c r="L447" i="15"/>
  <c r="O447" i="15" s="1"/>
  <c r="N446" i="15"/>
  <c r="M446" i="15"/>
  <c r="P446" i="15" s="1"/>
  <c r="N445" i="15"/>
  <c r="N444" i="15" s="1"/>
  <c r="M445" i="15"/>
  <c r="P445" i="15" s="1"/>
  <c r="L445" i="15"/>
  <c r="O445" i="15" s="1"/>
  <c r="M444" i="15"/>
  <c r="P444" i="15" s="1"/>
  <c r="J443" i="15"/>
  <c r="J442" i="15"/>
  <c r="I441" i="15"/>
  <c r="K441" i="15" s="1"/>
  <c r="I440" i="15"/>
  <c r="K440" i="15" s="1"/>
  <c r="I439" i="15"/>
  <c r="K439" i="15" s="1"/>
  <c r="I438" i="15"/>
  <c r="I437" i="15"/>
  <c r="K437" i="15" s="1"/>
  <c r="I435" i="15"/>
  <c r="J434" i="15"/>
  <c r="P431" i="15"/>
  <c r="L431" i="15"/>
  <c r="P430" i="15"/>
  <c r="O430" i="15"/>
  <c r="N429" i="15"/>
  <c r="M429" i="15"/>
  <c r="P429" i="15" s="1"/>
  <c r="P424" i="15"/>
  <c r="N424" i="15"/>
  <c r="L424" i="15"/>
  <c r="O424" i="15" s="1"/>
  <c r="P423" i="15"/>
  <c r="O423" i="15"/>
  <c r="P422" i="15"/>
  <c r="N422" i="15"/>
  <c r="M422" i="15"/>
  <c r="N421" i="15"/>
  <c r="M421" i="15"/>
  <c r="P421" i="15" s="1"/>
  <c r="N420" i="15"/>
  <c r="M420" i="15"/>
  <c r="P420" i="15" s="1"/>
  <c r="L420" i="15"/>
  <c r="J418" i="15"/>
  <c r="K413" i="15"/>
  <c r="K412" i="15"/>
  <c r="N410" i="15"/>
  <c r="N408" i="15" s="1"/>
  <c r="M410" i="15"/>
  <c r="P410" i="15" s="1"/>
  <c r="L410" i="15"/>
  <c r="O410" i="15" s="1"/>
  <c r="P409" i="15"/>
  <c r="O409" i="15"/>
  <c r="N407" i="15"/>
  <c r="M407" i="15"/>
  <c r="P407" i="15" s="1"/>
  <c r="L407" i="15"/>
  <c r="O407" i="15" s="1"/>
  <c r="P406" i="15"/>
  <c r="O406" i="15"/>
  <c r="P403" i="15"/>
  <c r="N403" i="15"/>
  <c r="M403" i="15"/>
  <c r="L403" i="15"/>
  <c r="J401" i="15"/>
  <c r="I401" i="15"/>
  <c r="K401" i="15" s="1"/>
  <c r="K400" i="15"/>
  <c r="K399" i="15"/>
  <c r="N397" i="15"/>
  <c r="N395" i="15" s="1"/>
  <c r="M397" i="15"/>
  <c r="L397" i="15"/>
  <c r="O397" i="15" s="1"/>
  <c r="P396" i="15"/>
  <c r="O396" i="15"/>
  <c r="N394" i="15"/>
  <c r="N392" i="15" s="1"/>
  <c r="M394" i="15"/>
  <c r="L394" i="15"/>
  <c r="O394" i="15" s="1"/>
  <c r="P393" i="15"/>
  <c r="O393" i="15"/>
  <c r="P390" i="15"/>
  <c r="N390" i="15"/>
  <c r="M390" i="15"/>
  <c r="L390" i="15"/>
  <c r="O390" i="15" s="1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M353" i="15"/>
  <c r="L353" i="15"/>
  <c r="L351" i="15" s="1"/>
  <c r="P352" i="15"/>
  <c r="O352" i="15"/>
  <c r="N350" i="15"/>
  <c r="N348" i="15" s="1"/>
  <c r="M350" i="15"/>
  <c r="L350" i="15"/>
  <c r="P349" i="15"/>
  <c r="O349" i="15"/>
  <c r="N346" i="15"/>
  <c r="M346" i="15"/>
  <c r="L346" i="15"/>
  <c r="O346" i="15" s="1"/>
  <c r="J343" i="15"/>
  <c r="J342" i="15"/>
  <c r="J341" i="15"/>
  <c r="J340" i="15"/>
  <c r="I340" i="15"/>
  <c r="J338" i="15"/>
  <c r="I338" i="15"/>
  <c r="N336" i="15"/>
  <c r="N334" i="15" s="1"/>
  <c r="M336" i="15"/>
  <c r="L336" i="15"/>
  <c r="O336" i="15" s="1"/>
  <c r="P335" i="15"/>
  <c r="O335" i="15"/>
  <c r="N333" i="15"/>
  <c r="M333" i="15"/>
  <c r="M331" i="15" s="1"/>
  <c r="L333" i="15"/>
  <c r="L331" i="15" s="1"/>
  <c r="P332" i="15"/>
  <c r="O332" i="15"/>
  <c r="O329" i="15"/>
  <c r="N329" i="15"/>
  <c r="M329" i="15"/>
  <c r="P329" i="15" s="1"/>
  <c r="L329" i="15"/>
  <c r="I327" i="15"/>
  <c r="I325" i="15"/>
  <c r="K325" i="15" s="1"/>
  <c r="N323" i="15"/>
  <c r="N321" i="15" s="1"/>
  <c r="M323" i="15"/>
  <c r="P323" i="15" s="1"/>
  <c r="L323" i="15"/>
  <c r="O323" i="15" s="1"/>
  <c r="P322" i="15"/>
  <c r="O322" i="15"/>
  <c r="N320" i="15"/>
  <c r="M320" i="15"/>
  <c r="P320" i="15" s="1"/>
  <c r="L320" i="15"/>
  <c r="L318" i="15" s="1"/>
  <c r="O318" i="15" s="1"/>
  <c r="P319" i="15"/>
  <c r="O319" i="15"/>
  <c r="P316" i="15"/>
  <c r="N316" i="15"/>
  <c r="M316" i="15"/>
  <c r="L316" i="15"/>
  <c r="O316" i="15" s="1"/>
  <c r="J314" i="15"/>
  <c r="I312" i="15"/>
  <c r="K312" i="15" s="1"/>
  <c r="I311" i="15"/>
  <c r="K311" i="15" s="1"/>
  <c r="I310" i="15"/>
  <c r="K310" i="15" s="1"/>
  <c r="I309" i="15"/>
  <c r="I297" i="15" s="1"/>
  <c r="K297" i="15" s="1"/>
  <c r="N306" i="15"/>
  <c r="N304" i="15" s="1"/>
  <c r="M306" i="15"/>
  <c r="P306" i="15" s="1"/>
  <c r="L306" i="15"/>
  <c r="O306" i="15" s="1"/>
  <c r="P305" i="15"/>
  <c r="O305" i="15"/>
  <c r="N303" i="15"/>
  <c r="N301" i="15" s="1"/>
  <c r="M303" i="15"/>
  <c r="M301" i="15" s="1"/>
  <c r="L303" i="15"/>
  <c r="L301" i="15" s="1"/>
  <c r="P302" i="15"/>
  <c r="O302" i="15"/>
  <c r="N299" i="15"/>
  <c r="M299" i="15"/>
  <c r="P299" i="15" s="1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I276" i="15" s="1"/>
  <c r="K276" i="15" s="1"/>
  <c r="N285" i="15"/>
  <c r="N283" i="15" s="1"/>
  <c r="M285" i="15"/>
  <c r="P285" i="15" s="1"/>
  <c r="L285" i="15"/>
  <c r="P284" i="15"/>
  <c r="O284" i="15"/>
  <c r="N282" i="15"/>
  <c r="M282" i="15"/>
  <c r="L282" i="15"/>
  <c r="L280" i="15" s="1"/>
  <c r="O280" i="15" s="1"/>
  <c r="P281" i="15"/>
  <c r="O281" i="15"/>
  <c r="P278" i="15"/>
  <c r="O278" i="15"/>
  <c r="N278" i="15"/>
  <c r="M278" i="15"/>
  <c r="L278" i="15"/>
  <c r="J276" i="15"/>
  <c r="I271" i="15"/>
  <c r="K271" i="15" s="1"/>
  <c r="N269" i="15"/>
  <c r="N267" i="15" s="1"/>
  <c r="M269" i="15"/>
  <c r="M267" i="15" s="1"/>
  <c r="P267" i="15" s="1"/>
  <c r="L269" i="15"/>
  <c r="O269" i="15" s="1"/>
  <c r="P268" i="15"/>
  <c r="O268" i="15"/>
  <c r="N266" i="15"/>
  <c r="N264" i="15" s="1"/>
  <c r="M266" i="15"/>
  <c r="M264" i="15" s="1"/>
  <c r="P264" i="15" s="1"/>
  <c r="L266" i="15"/>
  <c r="L264" i="15" s="1"/>
  <c r="P265" i="15"/>
  <c r="O265" i="15"/>
  <c r="N262" i="15"/>
  <c r="M262" i="15"/>
  <c r="P262" i="15" s="1"/>
  <c r="L262" i="15"/>
  <c r="J260" i="15"/>
  <c r="K258" i="15"/>
  <c r="K257" i="15"/>
  <c r="I255" i="15"/>
  <c r="K255" i="15" s="1"/>
  <c r="L253" i="15"/>
  <c r="L252" i="15"/>
  <c r="L251" i="15"/>
  <c r="L250" i="15"/>
  <c r="P249" i="15"/>
  <c r="N249" i="15"/>
  <c r="J248" i="15"/>
  <c r="K247" i="15"/>
  <c r="K246" i="15"/>
  <c r="I244" i="15"/>
  <c r="I237" i="15" s="1"/>
  <c r="K237" i="15" s="1"/>
  <c r="L242" i="15"/>
  <c r="L241" i="15"/>
  <c r="L240" i="15"/>
  <c r="L239" i="15"/>
  <c r="P238" i="15"/>
  <c r="N238" i="15"/>
  <c r="J237" i="15"/>
  <c r="K236" i="15"/>
  <c r="J236" i="15"/>
  <c r="I236" i="15"/>
  <c r="K235" i="15"/>
  <c r="J235" i="15"/>
  <c r="I235" i="15"/>
  <c r="J233" i="15"/>
  <c r="N231" i="15"/>
  <c r="N230" i="15"/>
  <c r="N229" i="15"/>
  <c r="N228" i="15"/>
  <c r="N227" i="15"/>
  <c r="J226" i="15"/>
  <c r="J180" i="15" s="1"/>
  <c r="I225" i="15"/>
  <c r="K225" i="15" s="1"/>
  <c r="I224" i="15"/>
  <c r="I216" i="15" s="1"/>
  <c r="K216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P189" i="15" s="1"/>
  <c r="L189" i="15"/>
  <c r="L187" i="15" s="1"/>
  <c r="O187" i="15" s="1"/>
  <c r="P188" i="15"/>
  <c r="O188" i="15"/>
  <c r="N186" i="15"/>
  <c r="M186" i="15"/>
  <c r="M184" i="15" s="1"/>
  <c r="L186" i="15"/>
  <c r="P185" i="15"/>
  <c r="O185" i="15"/>
  <c r="P182" i="15"/>
  <c r="N182" i="15"/>
  <c r="M182" i="15"/>
  <c r="L182" i="15"/>
  <c r="O182" i="15" s="1"/>
  <c r="K180" i="15"/>
  <c r="J177" i="15"/>
  <c r="J164" i="15" s="1"/>
  <c r="I176" i="15"/>
  <c r="K176" i="15" s="1"/>
  <c r="J174" i="15"/>
  <c r="N173" i="15"/>
  <c r="M173" i="15"/>
  <c r="P173" i="15" s="1"/>
  <c r="L173" i="15"/>
  <c r="O173" i="15" s="1"/>
  <c r="P172" i="15"/>
  <c r="O172" i="15"/>
  <c r="N170" i="15"/>
  <c r="N168" i="15" s="1"/>
  <c r="M170" i="15"/>
  <c r="L170" i="15"/>
  <c r="P169" i="15"/>
  <c r="O169" i="15"/>
  <c r="O166" i="15"/>
  <c r="N166" i="15"/>
  <c r="M166" i="15"/>
  <c r="L166" i="15"/>
  <c r="I159" i="15"/>
  <c r="K159" i="15" s="1"/>
  <c r="N157" i="15"/>
  <c r="N155" i="15" s="1"/>
  <c r="M157" i="15"/>
  <c r="P157" i="15" s="1"/>
  <c r="L157" i="15"/>
  <c r="L155" i="15" s="1"/>
  <c r="O155" i="15" s="1"/>
  <c r="P156" i="15"/>
  <c r="O156" i="15"/>
  <c r="N154" i="15"/>
  <c r="M154" i="15"/>
  <c r="M152" i="15" s="1"/>
  <c r="P152" i="15" s="1"/>
  <c r="L154" i="15"/>
  <c r="L152" i="15" s="1"/>
  <c r="O152" i="15" s="1"/>
  <c r="P153" i="15"/>
  <c r="O153" i="15"/>
  <c r="N150" i="15"/>
  <c r="M150" i="15"/>
  <c r="P150" i="15" s="1"/>
  <c r="L150" i="15"/>
  <c r="J148" i="15"/>
  <c r="I146" i="15"/>
  <c r="I130" i="15" s="1"/>
  <c r="K130" i="15" s="1"/>
  <c r="I145" i="15"/>
  <c r="K145" i="15" s="1"/>
  <c r="I144" i="15"/>
  <c r="K144" i="15" s="1"/>
  <c r="N140" i="15"/>
  <c r="N138" i="15" s="1"/>
  <c r="M140" i="15"/>
  <c r="P140" i="15" s="1"/>
  <c r="L140" i="15"/>
  <c r="O140" i="15" s="1"/>
  <c r="P139" i="15"/>
  <c r="O139" i="15"/>
  <c r="N137" i="15"/>
  <c r="N135" i="15" s="1"/>
  <c r="M137" i="15"/>
  <c r="P137" i="15" s="1"/>
  <c r="L137" i="15"/>
  <c r="O137" i="15" s="1"/>
  <c r="P136" i="15"/>
  <c r="O136" i="15"/>
  <c r="P133" i="15"/>
  <c r="N133" i="15"/>
  <c r="M133" i="15"/>
  <c r="L133" i="15"/>
  <c r="O133" i="15" s="1"/>
  <c r="J130" i="15"/>
  <c r="N127" i="15"/>
  <c r="N125" i="15" s="1"/>
  <c r="M127" i="15"/>
  <c r="P127" i="15" s="1"/>
  <c r="L127" i="15"/>
  <c r="L125" i="15" s="1"/>
  <c r="O125" i="15" s="1"/>
  <c r="P126" i="15"/>
  <c r="O126" i="15"/>
  <c r="N124" i="15"/>
  <c r="M124" i="15"/>
  <c r="P124" i="15" s="1"/>
  <c r="L124" i="15"/>
  <c r="L122" i="15" s="1"/>
  <c r="O122" i="15" s="1"/>
  <c r="P123" i="15"/>
  <c r="O123" i="15"/>
  <c r="O120" i="15"/>
  <c r="N120" i="15"/>
  <c r="M120" i="15"/>
  <c r="P120" i="15" s="1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I87" i="15" s="1"/>
  <c r="K87" i="15" s="1"/>
  <c r="J98" i="15"/>
  <c r="I98" i="15"/>
  <c r="I86" i="15" s="1"/>
  <c r="K86" i="15" s="1"/>
  <c r="N96" i="15"/>
  <c r="N94" i="15" s="1"/>
  <c r="M96" i="15"/>
  <c r="P96" i="15" s="1"/>
  <c r="L96" i="15"/>
  <c r="O96" i="15" s="1"/>
  <c r="P95" i="15"/>
  <c r="O95" i="15"/>
  <c r="N93" i="15"/>
  <c r="M93" i="15"/>
  <c r="M91" i="15" s="1"/>
  <c r="L93" i="15"/>
  <c r="L91" i="15" s="1"/>
  <c r="P92" i="15"/>
  <c r="O92" i="15"/>
  <c r="P89" i="15"/>
  <c r="O89" i="15"/>
  <c r="N89" i="15"/>
  <c r="M89" i="15"/>
  <c r="L89" i="15"/>
  <c r="J87" i="15"/>
  <c r="J86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65" i="15" s="1"/>
  <c r="J76" i="15"/>
  <c r="N74" i="15"/>
  <c r="N72" i="15" s="1"/>
  <c r="M74" i="15"/>
  <c r="P74" i="15" s="1"/>
  <c r="L74" i="15"/>
  <c r="O74" i="15" s="1"/>
  <c r="P73" i="15"/>
  <c r="O73" i="15"/>
  <c r="N71" i="15"/>
  <c r="N69" i="15" s="1"/>
  <c r="M71" i="15"/>
  <c r="P71" i="15" s="1"/>
  <c r="L71" i="15"/>
  <c r="O71" i="15" s="1"/>
  <c r="P70" i="15"/>
  <c r="O70" i="15"/>
  <c r="P67" i="15"/>
  <c r="O67" i="15"/>
  <c r="N67" i="15"/>
  <c r="M67" i="15"/>
  <c r="L67" i="15"/>
  <c r="J64" i="15"/>
  <c r="N61" i="15"/>
  <c r="N59" i="15" s="1"/>
  <c r="M61" i="15"/>
  <c r="P61" i="15" s="1"/>
  <c r="L61" i="15"/>
  <c r="O61" i="15" s="1"/>
  <c r="P60" i="15"/>
  <c r="O60" i="15"/>
  <c r="N58" i="15"/>
  <c r="N56" i="15" s="1"/>
  <c r="M58" i="15"/>
  <c r="L58" i="15"/>
  <c r="P57" i="15"/>
  <c r="O57" i="15"/>
  <c r="N54" i="15"/>
  <c r="M54" i="15"/>
  <c r="L54" i="15"/>
  <c r="O54" i="15" s="1"/>
  <c r="N49" i="15"/>
  <c r="N47" i="15" s="1"/>
  <c r="M49" i="15"/>
  <c r="P49" i="15" s="1"/>
  <c r="L49" i="15"/>
  <c r="O49" i="15" s="1"/>
  <c r="P48" i="15"/>
  <c r="O48" i="15"/>
  <c r="N46" i="15"/>
  <c r="M46" i="15"/>
  <c r="M44" i="15" s="1"/>
  <c r="L46" i="15"/>
  <c r="P45" i="15"/>
  <c r="O45" i="15"/>
  <c r="P42" i="15"/>
  <c r="O42" i="15"/>
  <c r="N42" i="15"/>
  <c r="M42" i="15"/>
  <c r="L42" i="15"/>
  <c r="N36" i="15"/>
  <c r="N34" i="15" s="1"/>
  <c r="M36" i="15"/>
  <c r="P36" i="15" s="1"/>
  <c r="N35" i="15"/>
  <c r="M35" i="15"/>
  <c r="P35" i="15" s="1"/>
  <c r="L35" i="15"/>
  <c r="M33" i="15"/>
  <c r="P33" i="15" s="1"/>
  <c r="N32" i="15"/>
  <c r="N29" i="15" s="1"/>
  <c r="M32" i="15"/>
  <c r="M12" i="15" s="1"/>
  <c r="L32" i="15"/>
  <c r="O32" i="15" s="1"/>
  <c r="O25" i="15"/>
  <c r="N25" i="15"/>
  <c r="M25" i="15"/>
  <c r="L25" i="15"/>
  <c r="P22" i="15"/>
  <c r="N22" i="15"/>
  <c r="M22" i="15"/>
  <c r="L22" i="15"/>
  <c r="O22" i="15" s="1"/>
  <c r="N19" i="15"/>
  <c r="M19" i="15"/>
  <c r="L12" i="15"/>
  <c r="O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P817" i="14"/>
  <c r="O817" i="14"/>
  <c r="P816" i="14"/>
  <c r="O816" i="14"/>
  <c r="O815" i="14"/>
  <c r="N815" i="14"/>
  <c r="M815" i="14"/>
  <c r="P815" i="14" s="1"/>
  <c r="L815" i="14"/>
  <c r="P810" i="14"/>
  <c r="O810" i="14"/>
  <c r="N810" i="14"/>
  <c r="P809" i="14"/>
  <c r="O809" i="14"/>
  <c r="O808" i="14"/>
  <c r="M808" i="14"/>
  <c r="P808" i="14" s="1"/>
  <c r="L808" i="14"/>
  <c r="P807" i="14"/>
  <c r="M807" i="14"/>
  <c r="L807" i="14"/>
  <c r="O806" i="14"/>
  <c r="N806" i="14"/>
  <c r="M806" i="14"/>
  <c r="P806" i="14" s="1"/>
  <c r="L806" i="14"/>
  <c r="P805" i="14"/>
  <c r="M805" i="14"/>
  <c r="K804" i="14"/>
  <c r="J804" i="14"/>
  <c r="K802" i="14"/>
  <c r="J801" i="14"/>
  <c r="J800" i="14"/>
  <c r="J785" i="14" s="1"/>
  <c r="I800" i="14"/>
  <c r="K800" i="14" s="1"/>
  <c r="P798" i="14"/>
  <c r="O798" i="14"/>
  <c r="P797" i="14"/>
  <c r="O797" i="14"/>
  <c r="P796" i="14"/>
  <c r="N796" i="14"/>
  <c r="M796" i="14"/>
  <c r="L796" i="14"/>
  <c r="O796" i="14" s="1"/>
  <c r="P791" i="14"/>
  <c r="N791" i="14"/>
  <c r="L791" i="14"/>
  <c r="P790" i="14"/>
  <c r="O790" i="14"/>
  <c r="N789" i="14"/>
  <c r="M789" i="14"/>
  <c r="P789" i="14" s="1"/>
  <c r="P788" i="14"/>
  <c r="N788" i="14"/>
  <c r="M788" i="14"/>
  <c r="O787" i="14"/>
  <c r="N787" i="14"/>
  <c r="N786" i="14" s="1"/>
  <c r="M787" i="14"/>
  <c r="P787" i="14" s="1"/>
  <c r="L787" i="14"/>
  <c r="P786" i="14"/>
  <c r="M786" i="14"/>
  <c r="P782" i="14"/>
  <c r="O782" i="14"/>
  <c r="P781" i="14"/>
  <c r="O781" i="14"/>
  <c r="P780" i="14"/>
  <c r="N780" i="14"/>
  <c r="M780" i="14"/>
  <c r="L780" i="14"/>
  <c r="O780" i="14" s="1"/>
  <c r="P775" i="14"/>
  <c r="O775" i="14"/>
  <c r="N775" i="14"/>
  <c r="N772" i="14" s="1"/>
  <c r="N770" i="14" s="1"/>
  <c r="P774" i="14"/>
  <c r="O774" i="14"/>
  <c r="P773" i="14"/>
  <c r="N773" i="14"/>
  <c r="M773" i="14"/>
  <c r="L773" i="14"/>
  <c r="O773" i="14" s="1"/>
  <c r="O772" i="14"/>
  <c r="M772" i="14"/>
  <c r="L772" i="14"/>
  <c r="P771" i="14"/>
  <c r="N771" i="14"/>
  <c r="M771" i="14"/>
  <c r="L771" i="14"/>
  <c r="K769" i="14"/>
  <c r="J769" i="14"/>
  <c r="P766" i="14"/>
  <c r="O766" i="14"/>
  <c r="P765" i="14"/>
  <c r="O765" i="14"/>
  <c r="P764" i="14"/>
  <c r="N764" i="14"/>
  <c r="M764" i="14"/>
  <c r="L764" i="14"/>
  <c r="O764" i="14" s="1"/>
  <c r="P759" i="14"/>
  <c r="O759" i="14"/>
  <c r="N759" i="14"/>
  <c r="N756" i="14" s="1"/>
  <c r="N754" i="14" s="1"/>
  <c r="P758" i="14"/>
  <c r="O758" i="14"/>
  <c r="P757" i="14"/>
  <c r="N757" i="14"/>
  <c r="M757" i="14"/>
  <c r="L757" i="14"/>
  <c r="O757" i="14" s="1"/>
  <c r="O756" i="14"/>
  <c r="M756" i="14"/>
  <c r="L756" i="14"/>
  <c r="P755" i="14"/>
  <c r="N755" i="14"/>
  <c r="M755" i="14"/>
  <c r="L755" i="14"/>
  <c r="K753" i="14"/>
  <c r="J753" i="14"/>
  <c r="P749" i="14"/>
  <c r="O749" i="14"/>
  <c r="P748" i="14"/>
  <c r="O748" i="14"/>
  <c r="P747" i="14"/>
  <c r="N747" i="14"/>
  <c r="M747" i="14"/>
  <c r="L747" i="14"/>
  <c r="O747" i="14" s="1"/>
  <c r="P742" i="14"/>
  <c r="O742" i="14"/>
  <c r="N742" i="14"/>
  <c r="N739" i="14" s="1"/>
  <c r="P741" i="14"/>
  <c r="O741" i="14"/>
  <c r="P740" i="14"/>
  <c r="N740" i="14"/>
  <c r="M740" i="14"/>
  <c r="L740" i="14"/>
  <c r="O740" i="14" s="1"/>
  <c r="O739" i="14"/>
  <c r="M739" i="14"/>
  <c r="L739" i="14"/>
  <c r="P738" i="14"/>
  <c r="N738" i="14"/>
  <c r="N737" i="14" s="1"/>
  <c r="M738" i="14"/>
  <c r="L738" i="14"/>
  <c r="K736" i="14"/>
  <c r="J736" i="14"/>
  <c r="J729" i="14"/>
  <c r="I729" i="14"/>
  <c r="K729" i="14" s="1"/>
  <c r="J728" i="14"/>
  <c r="I728" i="14"/>
  <c r="J727" i="14"/>
  <c r="J726" i="14"/>
  <c r="I726" i="14"/>
  <c r="J725" i="14"/>
  <c r="I725" i="14"/>
  <c r="J724" i="14"/>
  <c r="J723" i="14"/>
  <c r="I723" i="14"/>
  <c r="I722" i="14"/>
  <c r="I721" i="14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P695" i="14"/>
  <c r="N695" i="14"/>
  <c r="M695" i="14"/>
  <c r="L695" i="14"/>
  <c r="O695" i="14" s="1"/>
  <c r="P690" i="14"/>
  <c r="N690" i="14"/>
  <c r="N688" i="14" s="1"/>
  <c r="L690" i="14"/>
  <c r="M688" i="14"/>
  <c r="P688" i="14" s="1"/>
  <c r="P687" i="14"/>
  <c r="N687" i="14"/>
  <c r="M687" i="14"/>
  <c r="O686" i="14"/>
  <c r="N686" i="14"/>
  <c r="N685" i="14" s="1"/>
  <c r="M686" i="14"/>
  <c r="P686" i="14" s="1"/>
  <c r="L686" i="14"/>
  <c r="P685" i="14"/>
  <c r="M685" i="14"/>
  <c r="J679" i="14"/>
  <c r="J678" i="14"/>
  <c r="I678" i="14"/>
  <c r="K678" i="14" s="1"/>
  <c r="J675" i="14"/>
  <c r="J669" i="14" s="1"/>
  <c r="J654" i="14" s="1"/>
  <c r="I671" i="14"/>
  <c r="K671" i="14" s="1"/>
  <c r="I670" i="14"/>
  <c r="K670" i="14" s="1"/>
  <c r="I669" i="14"/>
  <c r="K672" i="14" s="1"/>
  <c r="P667" i="14"/>
  <c r="O667" i="14"/>
  <c r="P666" i="14"/>
  <c r="O666" i="14"/>
  <c r="O665" i="14"/>
  <c r="N665" i="14"/>
  <c r="M665" i="14"/>
  <c r="P665" i="14" s="1"/>
  <c r="L665" i="14"/>
  <c r="P660" i="14"/>
  <c r="N660" i="14"/>
  <c r="N657" i="14" s="1"/>
  <c r="L660" i="14"/>
  <c r="P659" i="14"/>
  <c r="O659" i="14"/>
  <c r="P658" i="14"/>
  <c r="N658" i="14"/>
  <c r="M658" i="14"/>
  <c r="M657" i="14"/>
  <c r="P657" i="14" s="1"/>
  <c r="P656" i="14"/>
  <c r="N656" i="14"/>
  <c r="N655" i="14" s="1"/>
  <c r="M656" i="14"/>
  <c r="L656" i="14"/>
  <c r="M655" i="14"/>
  <c r="P655" i="14" s="1"/>
  <c r="K652" i="14"/>
  <c r="J652" i="14"/>
  <c r="J651" i="14"/>
  <c r="J628" i="14" s="1"/>
  <c r="I651" i="14"/>
  <c r="K651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P640" i="14"/>
  <c r="O640" i="14"/>
  <c r="N639" i="14"/>
  <c r="M639" i="14"/>
  <c r="P639" i="14" s="1"/>
  <c r="P634" i="14"/>
  <c r="N634" i="14"/>
  <c r="N631" i="14" s="1"/>
  <c r="L634" i="14"/>
  <c r="O634" i="14" s="1"/>
  <c r="P633" i="14"/>
  <c r="O633" i="14"/>
  <c r="P632" i="14"/>
  <c r="N632" i="14"/>
  <c r="M632" i="14"/>
  <c r="M631" i="14"/>
  <c r="P631" i="14" s="1"/>
  <c r="P630" i="14"/>
  <c r="N630" i="14"/>
  <c r="M630" i="14"/>
  <c r="M629" i="14" s="1"/>
  <c r="P629" i="14" s="1"/>
  <c r="L630" i="14"/>
  <c r="O630" i="14" s="1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5" i="14"/>
  <c r="J593" i="14" s="1"/>
  <c r="J594" i="14"/>
  <c r="I594" i="14"/>
  <c r="K594" i="14" s="1"/>
  <c r="I593" i="14"/>
  <c r="I592" i="14" s="1"/>
  <c r="J592" i="14"/>
  <c r="J583" i="14"/>
  <c r="J577" i="14" s="1"/>
  <c r="J582" i="14"/>
  <c r="J576" i="14" s="1"/>
  <c r="J559" i="14" s="1"/>
  <c r="J543" i="14" s="1"/>
  <c r="I577" i="14"/>
  <c r="K577" i="14" s="1"/>
  <c r="I576" i="14"/>
  <c r="K576" i="14" s="1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O557" i="14" s="1"/>
  <c r="P556" i="14"/>
  <c r="O556" i="14"/>
  <c r="P555" i="14"/>
  <c r="N555" i="14"/>
  <c r="N545" i="14" s="1"/>
  <c r="N544" i="14" s="1"/>
  <c r="M555" i="14"/>
  <c r="P549" i="14"/>
  <c r="N549" i="14"/>
  <c r="L549" i="14"/>
  <c r="O549" i="14" s="1"/>
  <c r="P548" i="14"/>
  <c r="O548" i="14"/>
  <c r="N547" i="14"/>
  <c r="M547" i="14"/>
  <c r="P547" i="14" s="1"/>
  <c r="P546" i="14"/>
  <c r="N546" i="14"/>
  <c r="M546" i="14"/>
  <c r="O545" i="14"/>
  <c r="M545" i="14"/>
  <c r="L545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I522" i="14" s="1"/>
  <c r="K522" i="14" s="1"/>
  <c r="P535" i="14"/>
  <c r="L535" i="14"/>
  <c r="O535" i="14" s="1"/>
  <c r="P534" i="14"/>
  <c r="O534" i="14"/>
  <c r="P533" i="14"/>
  <c r="N533" i="14"/>
  <c r="M533" i="14"/>
  <c r="P528" i="14"/>
  <c r="N528" i="14"/>
  <c r="L528" i="14"/>
  <c r="P527" i="14"/>
  <c r="O527" i="14"/>
  <c r="N526" i="14"/>
  <c r="M526" i="14"/>
  <c r="P526" i="14" s="1"/>
  <c r="P525" i="14"/>
  <c r="N525" i="14"/>
  <c r="M525" i="14"/>
  <c r="O524" i="14"/>
  <c r="N524" i="14"/>
  <c r="N523" i="14" s="1"/>
  <c r="M524" i="14"/>
  <c r="P524" i="14" s="1"/>
  <c r="L524" i="14"/>
  <c r="P523" i="14"/>
  <c r="M523" i="14"/>
  <c r="K517" i="14"/>
  <c r="J517" i="14"/>
  <c r="J501" i="14" s="1"/>
  <c r="K516" i="14"/>
  <c r="P514" i="14"/>
  <c r="O514" i="14"/>
  <c r="P513" i="14"/>
  <c r="O513" i="14"/>
  <c r="O512" i="14"/>
  <c r="N512" i="14"/>
  <c r="M512" i="14"/>
  <c r="P512" i="14" s="1"/>
  <c r="L512" i="14"/>
  <c r="P507" i="14"/>
  <c r="O507" i="14"/>
  <c r="N507" i="14"/>
  <c r="N504" i="14" s="1"/>
  <c r="P506" i="14"/>
  <c r="O506" i="14"/>
  <c r="O505" i="14"/>
  <c r="N505" i="14"/>
  <c r="M505" i="14"/>
  <c r="P505" i="14" s="1"/>
  <c r="L505" i="14"/>
  <c r="P504" i="14"/>
  <c r="M504" i="14"/>
  <c r="L504" i="14"/>
  <c r="O504" i="14" s="1"/>
  <c r="O503" i="14"/>
  <c r="N503" i="14"/>
  <c r="M503" i="14"/>
  <c r="M502" i="14" s="1"/>
  <c r="P502" i="14" s="1"/>
  <c r="L503" i="14"/>
  <c r="L502" i="14" s="1"/>
  <c r="O502" i="14" s="1"/>
  <c r="N502" i="14"/>
  <c r="K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P477" i="14"/>
  <c r="N477" i="14"/>
  <c r="M477" i="14"/>
  <c r="P472" i="14"/>
  <c r="N472" i="14"/>
  <c r="N469" i="14" s="1"/>
  <c r="N467" i="14" s="1"/>
  <c r="L472" i="14"/>
  <c r="O472" i="14" s="1"/>
  <c r="P471" i="14"/>
  <c r="O471" i="14"/>
  <c r="N470" i="14"/>
  <c r="M470" i="14"/>
  <c r="P470" i="14" s="1"/>
  <c r="P469" i="14"/>
  <c r="M469" i="14"/>
  <c r="O468" i="14"/>
  <c r="N468" i="14"/>
  <c r="M468" i="14"/>
  <c r="M467" i="14" s="1"/>
  <c r="P467" i="14" s="1"/>
  <c r="L468" i="14"/>
  <c r="J466" i="14"/>
  <c r="I466" i="14"/>
  <c r="K466" i="14" s="1"/>
  <c r="J465" i="14"/>
  <c r="I465" i="14"/>
  <c r="K465" i="14" s="1"/>
  <c r="I464" i="14"/>
  <c r="I463" i="14"/>
  <c r="I462" i="14"/>
  <c r="I460" i="14"/>
  <c r="K460" i="14" s="1"/>
  <c r="K458" i="14"/>
  <c r="P456" i="14"/>
  <c r="L456" i="14"/>
  <c r="P455" i="14"/>
  <c r="O455" i="14"/>
  <c r="N454" i="14"/>
  <c r="M454" i="14"/>
  <c r="P454" i="14" s="1"/>
  <c r="P449" i="14"/>
  <c r="N449" i="14"/>
  <c r="L449" i="14"/>
  <c r="O449" i="14" s="1"/>
  <c r="P448" i="14"/>
  <c r="O448" i="14"/>
  <c r="P447" i="14"/>
  <c r="N447" i="14"/>
  <c r="M447" i="14"/>
  <c r="N446" i="14"/>
  <c r="M446" i="14"/>
  <c r="P446" i="14" s="1"/>
  <c r="P445" i="14"/>
  <c r="N445" i="14"/>
  <c r="N444" i="14" s="1"/>
  <c r="M445" i="14"/>
  <c r="M444" i="14" s="1"/>
  <c r="P444" i="14" s="1"/>
  <c r="L445" i="14"/>
  <c r="O445" i="14" s="1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I433" i="14" s="1"/>
  <c r="I417" i="14" s="1"/>
  <c r="J434" i="14"/>
  <c r="P431" i="14"/>
  <c r="L431" i="14"/>
  <c r="P430" i="14"/>
  <c r="O430" i="14"/>
  <c r="N429" i="14"/>
  <c r="M429" i="14"/>
  <c r="P429" i="14" s="1"/>
  <c r="P424" i="14"/>
  <c r="N424" i="14"/>
  <c r="L424" i="14"/>
  <c r="O424" i="14" s="1"/>
  <c r="P423" i="14"/>
  <c r="O423" i="14"/>
  <c r="P422" i="14"/>
  <c r="N422" i="14"/>
  <c r="M422" i="14"/>
  <c r="L422" i="14"/>
  <c r="O422" i="14" s="1"/>
  <c r="N421" i="14"/>
  <c r="M421" i="14"/>
  <c r="P421" i="14" s="1"/>
  <c r="N420" i="14"/>
  <c r="N419" i="14" s="1"/>
  <c r="M420" i="14"/>
  <c r="L420" i="14"/>
  <c r="O420" i="14" s="1"/>
  <c r="J418" i="14"/>
  <c r="K413" i="14"/>
  <c r="K412" i="14"/>
  <c r="N410" i="14"/>
  <c r="N408" i="14" s="1"/>
  <c r="M410" i="14"/>
  <c r="P410" i="14" s="1"/>
  <c r="L410" i="14"/>
  <c r="P409" i="14"/>
  <c r="O409" i="14"/>
  <c r="N407" i="14"/>
  <c r="N405" i="14" s="1"/>
  <c r="M407" i="14"/>
  <c r="P407" i="14" s="1"/>
  <c r="L407" i="14"/>
  <c r="L405" i="14" s="1"/>
  <c r="O405" i="14" s="1"/>
  <c r="P406" i="14"/>
  <c r="O406" i="14"/>
  <c r="P403" i="14"/>
  <c r="N403" i="14"/>
  <c r="M403" i="14"/>
  <c r="L403" i="14"/>
  <c r="J401" i="14"/>
  <c r="I401" i="14"/>
  <c r="K401" i="14" s="1"/>
  <c r="K400" i="14"/>
  <c r="K399" i="14"/>
  <c r="N397" i="14"/>
  <c r="N395" i="14" s="1"/>
  <c r="M397" i="14"/>
  <c r="L397" i="14"/>
  <c r="O397" i="14" s="1"/>
  <c r="P396" i="14"/>
  <c r="O396" i="14"/>
  <c r="N394" i="14"/>
  <c r="N392" i="14" s="1"/>
  <c r="M394" i="14"/>
  <c r="L394" i="14"/>
  <c r="L392" i="14" s="1"/>
  <c r="O392" i="14" s="1"/>
  <c r="P393" i="14"/>
  <c r="O393" i="14"/>
  <c r="N390" i="14"/>
  <c r="M390" i="14"/>
  <c r="L390" i="14"/>
  <c r="O390" i="14" s="1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L351" i="14" s="1"/>
  <c r="P352" i="14"/>
  <c r="O352" i="14"/>
  <c r="N350" i="14"/>
  <c r="N348" i="14" s="1"/>
  <c r="M350" i="14"/>
  <c r="L350" i="14"/>
  <c r="L348" i="14" s="1"/>
  <c r="P349" i="14"/>
  <c r="O349" i="14"/>
  <c r="N346" i="14"/>
  <c r="M346" i="14"/>
  <c r="P346" i="14" s="1"/>
  <c r="L346" i="14"/>
  <c r="J343" i="14"/>
  <c r="J342" i="14"/>
  <c r="J341" i="14"/>
  <c r="J340" i="14"/>
  <c r="I340" i="14"/>
  <c r="J338" i="14"/>
  <c r="I338" i="14"/>
  <c r="N336" i="14"/>
  <c r="N334" i="14" s="1"/>
  <c r="M336" i="14"/>
  <c r="L336" i="14"/>
  <c r="O336" i="14" s="1"/>
  <c r="P335" i="14"/>
  <c r="O335" i="14"/>
  <c r="N333" i="14"/>
  <c r="M333" i="14"/>
  <c r="L333" i="14"/>
  <c r="L331" i="14" s="1"/>
  <c r="P332" i="14"/>
  <c r="O332" i="14"/>
  <c r="P329" i="14"/>
  <c r="N329" i="14"/>
  <c r="M329" i="14"/>
  <c r="L329" i="14"/>
  <c r="I327" i="14"/>
  <c r="I325" i="14"/>
  <c r="K325" i="14" s="1"/>
  <c r="N323" i="14"/>
  <c r="N321" i="14" s="1"/>
  <c r="M323" i="14"/>
  <c r="M321" i="14" s="1"/>
  <c r="P321" i="14" s="1"/>
  <c r="L323" i="14"/>
  <c r="O323" i="14" s="1"/>
  <c r="P322" i="14"/>
  <c r="O322" i="14"/>
  <c r="N320" i="14"/>
  <c r="M320" i="14"/>
  <c r="L320" i="14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I297" i="14" s="1"/>
  <c r="K297" i="14" s="1"/>
  <c r="N306" i="14"/>
  <c r="N304" i="14" s="1"/>
  <c r="M306" i="14"/>
  <c r="L306" i="14"/>
  <c r="O306" i="14" s="1"/>
  <c r="P305" i="14"/>
  <c r="O305" i="14"/>
  <c r="N303" i="14"/>
  <c r="N301" i="14" s="1"/>
  <c r="M303" i="14"/>
  <c r="P303" i="14" s="1"/>
  <c r="L303" i="14"/>
  <c r="L301" i="14" s="1"/>
  <c r="O301" i="14" s="1"/>
  <c r="P302" i="14"/>
  <c r="O302" i="14"/>
  <c r="N299" i="14"/>
  <c r="M299" i="14"/>
  <c r="P299" i="14" s="1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K288" i="14" s="1"/>
  <c r="I287" i="14"/>
  <c r="K287" i="14" s="1"/>
  <c r="N285" i="14"/>
  <c r="N283" i="14" s="1"/>
  <c r="M285" i="14"/>
  <c r="M283" i="14" s="1"/>
  <c r="P283" i="14" s="1"/>
  <c r="L285" i="14"/>
  <c r="O285" i="14" s="1"/>
  <c r="P284" i="14"/>
  <c r="O284" i="14"/>
  <c r="N282" i="14"/>
  <c r="M282" i="14"/>
  <c r="M280" i="14" s="1"/>
  <c r="P280" i="14" s="1"/>
  <c r="L282" i="14"/>
  <c r="P281" i="14"/>
  <c r="O281" i="14"/>
  <c r="P278" i="14"/>
  <c r="O278" i="14"/>
  <c r="N278" i="14"/>
  <c r="M278" i="14"/>
  <c r="L278" i="14"/>
  <c r="J276" i="14"/>
  <c r="I271" i="14"/>
  <c r="K271" i="14" s="1"/>
  <c r="N269" i="14"/>
  <c r="N267" i="14" s="1"/>
  <c r="M269" i="14"/>
  <c r="P269" i="14" s="1"/>
  <c r="L269" i="14"/>
  <c r="P268" i="14"/>
  <c r="O268" i="14"/>
  <c r="N266" i="14"/>
  <c r="M266" i="14"/>
  <c r="L266" i="14"/>
  <c r="L264" i="14" s="1"/>
  <c r="P265" i="14"/>
  <c r="O265" i="14"/>
  <c r="O262" i="14"/>
  <c r="N262" i="14"/>
  <c r="M262" i="14"/>
  <c r="P262" i="14" s="1"/>
  <c r="L262" i="14"/>
  <c r="J260" i="14"/>
  <c r="K258" i="14"/>
  <c r="K257" i="14"/>
  <c r="I255" i="14"/>
  <c r="K255" i="14" s="1"/>
  <c r="L253" i="14"/>
  <c r="L252" i="14"/>
  <c r="L251" i="14"/>
  <c r="L250" i="14"/>
  <c r="P249" i="14"/>
  <c r="N249" i="14"/>
  <c r="J248" i="14"/>
  <c r="K247" i="14"/>
  <c r="K246" i="14"/>
  <c r="I244" i="14"/>
  <c r="L242" i="14"/>
  <c r="L241" i="14"/>
  <c r="L240" i="14"/>
  <c r="L239" i="14"/>
  <c r="P238" i="14"/>
  <c r="N238" i="14"/>
  <c r="N227" i="14" s="1"/>
  <c r="J237" i="14"/>
  <c r="J226" i="14" s="1"/>
  <c r="J180" i="14" s="1"/>
  <c r="J236" i="14"/>
  <c r="I236" i="14"/>
  <c r="K236" i="14" s="1"/>
  <c r="K235" i="14"/>
  <c r="J235" i="14"/>
  <c r="I235" i="14"/>
  <c r="J233" i="14"/>
  <c r="N231" i="14"/>
  <c r="N230" i="14"/>
  <c r="N229" i="14"/>
  <c r="N228" i="14"/>
  <c r="I225" i="14"/>
  <c r="K225" i="14" s="1"/>
  <c r="I224" i="14"/>
  <c r="I216" i="14" s="1"/>
  <c r="K216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N184" i="14" s="1"/>
  <c r="M186" i="14"/>
  <c r="L186" i="14"/>
  <c r="L184" i="14" s="1"/>
  <c r="P185" i="14"/>
  <c r="O185" i="14"/>
  <c r="N182" i="14"/>
  <c r="M182" i="14"/>
  <c r="L182" i="14"/>
  <c r="O182" i="14" s="1"/>
  <c r="K180" i="14"/>
  <c r="J177" i="14"/>
  <c r="I176" i="14"/>
  <c r="I174" i="14" s="1"/>
  <c r="J174" i="14"/>
  <c r="J164" i="14" s="1"/>
  <c r="N173" i="14"/>
  <c r="N171" i="14" s="1"/>
  <c r="M173" i="14"/>
  <c r="P173" i="14" s="1"/>
  <c r="L173" i="14"/>
  <c r="P172" i="14"/>
  <c r="O172" i="14"/>
  <c r="N170" i="14"/>
  <c r="N168" i="14" s="1"/>
  <c r="M170" i="14"/>
  <c r="L170" i="14"/>
  <c r="P169" i="14"/>
  <c r="O169" i="14"/>
  <c r="P166" i="14"/>
  <c r="O166" i="14"/>
  <c r="N166" i="14"/>
  <c r="M166" i="14"/>
  <c r="L166" i="14"/>
  <c r="I159" i="14"/>
  <c r="K159" i="14" s="1"/>
  <c r="N157" i="14"/>
  <c r="M157" i="14"/>
  <c r="P157" i="14" s="1"/>
  <c r="L157" i="14"/>
  <c r="P156" i="14"/>
  <c r="O156" i="14"/>
  <c r="N154" i="14"/>
  <c r="M154" i="14"/>
  <c r="L154" i="14"/>
  <c r="L152" i="14" s="1"/>
  <c r="P153" i="14"/>
  <c r="O153" i="14"/>
  <c r="N150" i="14"/>
  <c r="M150" i="14"/>
  <c r="P150" i="14" s="1"/>
  <c r="L150" i="14"/>
  <c r="O150" i="14" s="1"/>
  <c r="J148" i="14"/>
  <c r="I146" i="14"/>
  <c r="K146" i="14" s="1"/>
  <c r="I145" i="14"/>
  <c r="K145" i="14" s="1"/>
  <c r="I144" i="14"/>
  <c r="K144" i="14" s="1"/>
  <c r="N140" i="14"/>
  <c r="N138" i="14" s="1"/>
  <c r="M140" i="14"/>
  <c r="P140" i="14" s="1"/>
  <c r="L140" i="14"/>
  <c r="O140" i="14" s="1"/>
  <c r="P139" i="14"/>
  <c r="O139" i="14"/>
  <c r="N137" i="14"/>
  <c r="N135" i="14" s="1"/>
  <c r="M137" i="14"/>
  <c r="L137" i="14"/>
  <c r="O137" i="14" s="1"/>
  <c r="P136" i="14"/>
  <c r="O136" i="14"/>
  <c r="P133" i="14"/>
  <c r="O133" i="14"/>
  <c r="N133" i="14"/>
  <c r="M133" i="14"/>
  <c r="L133" i="14"/>
  <c r="J130" i="14"/>
  <c r="N127" i="14"/>
  <c r="N125" i="14" s="1"/>
  <c r="M127" i="14"/>
  <c r="P127" i="14" s="1"/>
  <c r="L127" i="14"/>
  <c r="O127" i="14" s="1"/>
  <c r="P126" i="14"/>
  <c r="O126" i="14"/>
  <c r="N124" i="14"/>
  <c r="M124" i="14"/>
  <c r="P124" i="14" s="1"/>
  <c r="L124" i="14"/>
  <c r="O124" i="14" s="1"/>
  <c r="P123" i="14"/>
  <c r="O123" i="14"/>
  <c r="N120" i="14"/>
  <c r="M120" i="14"/>
  <c r="P120" i="14" s="1"/>
  <c r="L120" i="14"/>
  <c r="O120" i="14" s="1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I87" i="14" s="1"/>
  <c r="K87" i="14" s="1"/>
  <c r="J98" i="14"/>
  <c r="I98" i="14"/>
  <c r="I86" i="14" s="1"/>
  <c r="K86" i="14" s="1"/>
  <c r="N96" i="14"/>
  <c r="N94" i="14" s="1"/>
  <c r="M96" i="14"/>
  <c r="P96" i="14" s="1"/>
  <c r="L96" i="14"/>
  <c r="O96" i="14" s="1"/>
  <c r="P95" i="14"/>
  <c r="O95" i="14"/>
  <c r="N93" i="14"/>
  <c r="N91" i="14" s="1"/>
  <c r="M93" i="14"/>
  <c r="L93" i="14"/>
  <c r="P92" i="14"/>
  <c r="O92" i="14"/>
  <c r="P89" i="14"/>
  <c r="O89" i="14"/>
  <c r="N89" i="14"/>
  <c r="M89" i="14"/>
  <c r="L89" i="14"/>
  <c r="J87" i="14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J77" i="14"/>
  <c r="J65" i="14" s="1"/>
  <c r="J76" i="14"/>
  <c r="N74" i="14"/>
  <c r="N72" i="14" s="1"/>
  <c r="M74" i="14"/>
  <c r="P74" i="14" s="1"/>
  <c r="L74" i="14"/>
  <c r="O74" i="14" s="1"/>
  <c r="P73" i="14"/>
  <c r="O73" i="14"/>
  <c r="N71" i="14"/>
  <c r="N69" i="14" s="1"/>
  <c r="M71" i="14"/>
  <c r="P71" i="14" s="1"/>
  <c r="L71" i="14"/>
  <c r="O71" i="14" s="1"/>
  <c r="P70" i="14"/>
  <c r="O70" i="14"/>
  <c r="P67" i="14"/>
  <c r="O67" i="14"/>
  <c r="N67" i="14"/>
  <c r="M67" i="14"/>
  <c r="L67" i="14"/>
  <c r="J64" i="14"/>
  <c r="N61" i="14"/>
  <c r="N59" i="14" s="1"/>
  <c r="M61" i="14"/>
  <c r="L61" i="14"/>
  <c r="L59" i="14" s="1"/>
  <c r="P60" i="14"/>
  <c r="O60" i="14"/>
  <c r="N58" i="14"/>
  <c r="M58" i="14"/>
  <c r="M56" i="14" s="1"/>
  <c r="L58" i="14"/>
  <c r="P57" i="14"/>
  <c r="O57" i="14"/>
  <c r="P54" i="14"/>
  <c r="N54" i="14"/>
  <c r="M54" i="14"/>
  <c r="L54" i="14"/>
  <c r="O54" i="14" s="1"/>
  <c r="N49" i="14"/>
  <c r="N47" i="14" s="1"/>
  <c r="M49" i="14"/>
  <c r="P49" i="14" s="1"/>
  <c r="L49" i="14"/>
  <c r="P48" i="14"/>
  <c r="O48" i="14"/>
  <c r="N46" i="14"/>
  <c r="N44" i="14" s="1"/>
  <c r="M46" i="14"/>
  <c r="M44" i="14" s="1"/>
  <c r="L46" i="14"/>
  <c r="L44" i="14" s="1"/>
  <c r="P45" i="14"/>
  <c r="O45" i="14"/>
  <c r="O42" i="14"/>
  <c r="N42" i="14"/>
  <c r="M42" i="14"/>
  <c r="P42" i="14" s="1"/>
  <c r="L42" i="14"/>
  <c r="P36" i="14"/>
  <c r="N36" i="14"/>
  <c r="M36" i="14"/>
  <c r="O35" i="14"/>
  <c r="N35" i="14"/>
  <c r="N34" i="14" s="1"/>
  <c r="M35" i="14"/>
  <c r="P35" i="14" s="1"/>
  <c r="L35" i="14"/>
  <c r="N33" i="14"/>
  <c r="M33" i="14"/>
  <c r="P33" i="14" s="1"/>
  <c r="P32" i="14"/>
  <c r="N32" i="14"/>
  <c r="N31" i="14" s="1"/>
  <c r="M32" i="14"/>
  <c r="M31" i="14" s="1"/>
  <c r="P31" i="14" s="1"/>
  <c r="L32" i="14"/>
  <c r="O32" i="14" s="1"/>
  <c r="N30" i="14"/>
  <c r="N29" i="14"/>
  <c r="N28" i="14" s="1"/>
  <c r="M29" i="14"/>
  <c r="P29" i="14" s="1"/>
  <c r="P25" i="14"/>
  <c r="N25" i="14"/>
  <c r="M25" i="14"/>
  <c r="L25" i="14"/>
  <c r="O25" i="14" s="1"/>
  <c r="O22" i="14"/>
  <c r="N22" i="14"/>
  <c r="N19" i="14" s="1"/>
  <c r="M22" i="14"/>
  <c r="P22" i="14" s="1"/>
  <c r="L22" i="14"/>
  <c r="L19" i="14"/>
  <c r="O19" i="14" s="1"/>
  <c r="N15" i="14"/>
  <c r="M15" i="14"/>
  <c r="P15" i="14" s="1"/>
  <c r="L12" i="14"/>
  <c r="O12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P817" i="13"/>
  <c r="O817" i="13"/>
  <c r="P816" i="13"/>
  <c r="O816" i="13"/>
  <c r="O815" i="13"/>
  <c r="N815" i="13"/>
  <c r="M815" i="13"/>
  <c r="P815" i="13" s="1"/>
  <c r="L815" i="13"/>
  <c r="P810" i="13"/>
  <c r="O810" i="13"/>
  <c r="N810" i="13"/>
  <c r="P809" i="13"/>
  <c r="O809" i="13"/>
  <c r="O808" i="13"/>
  <c r="M808" i="13"/>
  <c r="P808" i="13" s="1"/>
  <c r="L808" i="13"/>
  <c r="P807" i="13"/>
  <c r="M807" i="13"/>
  <c r="L807" i="13"/>
  <c r="O806" i="13"/>
  <c r="N806" i="13"/>
  <c r="M806" i="13"/>
  <c r="P806" i="13" s="1"/>
  <c r="L806" i="13"/>
  <c r="P805" i="13"/>
  <c r="M805" i="13"/>
  <c r="K804" i="13"/>
  <c r="J804" i="13"/>
  <c r="K802" i="13"/>
  <c r="J801" i="13"/>
  <c r="J800" i="13"/>
  <c r="J785" i="13" s="1"/>
  <c r="I800" i="13"/>
  <c r="P798" i="13"/>
  <c r="O798" i="13"/>
  <c r="P797" i="13"/>
  <c r="O797" i="13"/>
  <c r="P796" i="13"/>
  <c r="N796" i="13"/>
  <c r="M796" i="13"/>
  <c r="L796" i="13"/>
  <c r="O796" i="13" s="1"/>
  <c r="P791" i="13"/>
  <c r="N791" i="13"/>
  <c r="L791" i="13"/>
  <c r="L788" i="13" s="1"/>
  <c r="P790" i="13"/>
  <c r="O790" i="13"/>
  <c r="N789" i="13"/>
  <c r="M789" i="13"/>
  <c r="P789" i="13" s="1"/>
  <c r="P788" i="13"/>
  <c r="N788" i="13"/>
  <c r="M788" i="13"/>
  <c r="O787" i="13"/>
  <c r="N787" i="13"/>
  <c r="M787" i="13"/>
  <c r="P787" i="13" s="1"/>
  <c r="L787" i="13"/>
  <c r="N786" i="13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N772" i="13" s="1"/>
  <c r="P774" i="13"/>
  <c r="O774" i="13"/>
  <c r="P773" i="13"/>
  <c r="N773" i="13"/>
  <c r="M773" i="13"/>
  <c r="L773" i="13"/>
  <c r="O773" i="13" s="1"/>
  <c r="O772" i="13"/>
  <c r="M772" i="13"/>
  <c r="L772" i="13"/>
  <c r="P771" i="13"/>
  <c r="N771" i="13"/>
  <c r="M771" i="13"/>
  <c r="L771" i="13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N756" i="13" s="1"/>
  <c r="P758" i="13"/>
  <c r="O758" i="13"/>
  <c r="P757" i="13"/>
  <c r="N757" i="13"/>
  <c r="M757" i="13"/>
  <c r="L757" i="13"/>
  <c r="O757" i="13" s="1"/>
  <c r="O756" i="13"/>
  <c r="M756" i="13"/>
  <c r="L756" i="13"/>
  <c r="P755" i="13"/>
  <c r="N755" i="13"/>
  <c r="M755" i="13"/>
  <c r="L755" i="13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N739" i="13" s="1"/>
  <c r="P741" i="13"/>
  <c r="O741" i="13"/>
  <c r="P740" i="13"/>
  <c r="N740" i="13"/>
  <c r="M740" i="13"/>
  <c r="L740" i="13"/>
  <c r="O740" i="13" s="1"/>
  <c r="O739" i="13"/>
  <c r="M739" i="13"/>
  <c r="L739" i="13"/>
  <c r="P738" i="13"/>
  <c r="N738" i="13"/>
  <c r="M738" i="13"/>
  <c r="L738" i="13"/>
  <c r="K736" i="13"/>
  <c r="J736" i="13"/>
  <c r="J729" i="13"/>
  <c r="I729" i="13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J719" i="13"/>
  <c r="J718" i="13"/>
  <c r="J708" i="13"/>
  <c r="I708" i="13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P690" i="13"/>
  <c r="N690" i="13"/>
  <c r="N688" i="13" s="1"/>
  <c r="L690" i="13"/>
  <c r="L688" i="13" s="1"/>
  <c r="M688" i="13"/>
  <c r="P688" i="13" s="1"/>
  <c r="P687" i="13"/>
  <c r="N687" i="13"/>
  <c r="M687" i="13"/>
  <c r="O686" i="13"/>
  <c r="N686" i="13"/>
  <c r="M686" i="13"/>
  <c r="P686" i="13" s="1"/>
  <c r="L686" i="13"/>
  <c r="P685" i="13"/>
  <c r="N685" i="13"/>
  <c r="M685" i="13"/>
  <c r="J679" i="13"/>
  <c r="J678" i="13"/>
  <c r="I678" i="13"/>
  <c r="K678" i="13" s="1"/>
  <c r="J675" i="13"/>
  <c r="J669" i="13" s="1"/>
  <c r="J654" i="13" s="1"/>
  <c r="I671" i="13"/>
  <c r="K671" i="13" s="1"/>
  <c r="I670" i="13"/>
  <c r="K670" i="13" s="1"/>
  <c r="I669" i="13"/>
  <c r="K672" i="13" s="1"/>
  <c r="P667" i="13"/>
  <c r="O667" i="13"/>
  <c r="P666" i="13"/>
  <c r="O666" i="13"/>
  <c r="O665" i="13"/>
  <c r="N665" i="13"/>
  <c r="M665" i="13"/>
  <c r="P665" i="13" s="1"/>
  <c r="L665" i="13"/>
  <c r="P660" i="13"/>
  <c r="N660" i="13"/>
  <c r="N657" i="13" s="1"/>
  <c r="L660" i="13"/>
  <c r="O660" i="13" s="1"/>
  <c r="P659" i="13"/>
  <c r="O659" i="13"/>
  <c r="P658" i="13"/>
  <c r="N658" i="13"/>
  <c r="M658" i="13"/>
  <c r="M657" i="13"/>
  <c r="P657" i="13" s="1"/>
  <c r="P656" i="13"/>
  <c r="N656" i="13"/>
  <c r="N655" i="13" s="1"/>
  <c r="M656" i="13"/>
  <c r="L656" i="13"/>
  <c r="M655" i="13"/>
  <c r="P655" i="13" s="1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N639" i="13"/>
  <c r="M639" i="13"/>
  <c r="P639" i="13" s="1"/>
  <c r="P634" i="13"/>
  <c r="N634" i="13"/>
  <c r="L634" i="13"/>
  <c r="O634" i="13" s="1"/>
  <c r="P633" i="13"/>
  <c r="O633" i="13"/>
  <c r="P632" i="13"/>
  <c r="N632" i="13"/>
  <c r="M632" i="13"/>
  <c r="N631" i="13"/>
  <c r="M631" i="13"/>
  <c r="P631" i="13" s="1"/>
  <c r="P630" i="13"/>
  <c r="N630" i="13"/>
  <c r="N629" i="13" s="1"/>
  <c r="M630" i="13"/>
  <c r="L630" i="13"/>
  <c r="O630" i="13" s="1"/>
  <c r="M629" i="13"/>
  <c r="P629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3" i="13" s="1"/>
  <c r="J596" i="13"/>
  <c r="J595" i="13"/>
  <c r="J594" i="13"/>
  <c r="I594" i="13"/>
  <c r="K594" i="13" s="1"/>
  <c r="I593" i="13"/>
  <c r="I592" i="13" s="1"/>
  <c r="K592" i="13" s="1"/>
  <c r="J592" i="13"/>
  <c r="J583" i="13"/>
  <c r="J577" i="13" s="1"/>
  <c r="J582" i="13"/>
  <c r="I577" i="13"/>
  <c r="K577" i="13" s="1"/>
  <c r="J576" i="13"/>
  <c r="J559" i="13" s="1"/>
  <c r="J543" i="13" s="1"/>
  <c r="I576" i="13"/>
  <c r="K576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L555" i="13" s="1"/>
  <c r="O555" i="13" s="1"/>
  <c r="P556" i="13"/>
  <c r="O556" i="13"/>
  <c r="P555" i="13"/>
  <c r="N555" i="13"/>
  <c r="N545" i="13" s="1"/>
  <c r="M555" i="13"/>
  <c r="P549" i="13"/>
  <c r="N549" i="13"/>
  <c r="L549" i="13"/>
  <c r="P548" i="13"/>
  <c r="O548" i="13"/>
  <c r="N547" i="13"/>
  <c r="M547" i="13"/>
  <c r="P547" i="13" s="1"/>
  <c r="P546" i="13"/>
  <c r="N546" i="13"/>
  <c r="M546" i="13"/>
  <c r="O545" i="13"/>
  <c r="M545" i="13"/>
  <c r="L545" i="13"/>
  <c r="I542" i="13"/>
  <c r="K542" i="13" s="1"/>
  <c r="I541" i="13"/>
  <c r="K541" i="13" s="1"/>
  <c r="I540" i="13"/>
  <c r="K540" i="13" s="1"/>
  <c r="I539" i="13"/>
  <c r="K539" i="13" s="1"/>
  <c r="I538" i="13"/>
  <c r="I537" i="13"/>
  <c r="P535" i="13"/>
  <c r="L535" i="13"/>
  <c r="O535" i="13" s="1"/>
  <c r="P534" i="13"/>
  <c r="O534" i="13"/>
  <c r="P533" i="13"/>
  <c r="N533" i="13"/>
  <c r="M533" i="13"/>
  <c r="L533" i="13"/>
  <c r="O533" i="13" s="1"/>
  <c r="P528" i="13"/>
  <c r="N528" i="13"/>
  <c r="L528" i="13"/>
  <c r="P527" i="13"/>
  <c r="O527" i="13"/>
  <c r="N526" i="13"/>
  <c r="M526" i="13"/>
  <c r="P526" i="13" s="1"/>
  <c r="P525" i="13"/>
  <c r="N525" i="13"/>
  <c r="M525" i="13"/>
  <c r="O524" i="13"/>
  <c r="N524" i="13"/>
  <c r="N523" i="13" s="1"/>
  <c r="M524" i="13"/>
  <c r="P524" i="13" s="1"/>
  <c r="L524" i="13"/>
  <c r="P523" i="13"/>
  <c r="M523" i="13"/>
  <c r="K517" i="13"/>
  <c r="J517" i="13"/>
  <c r="J501" i="13" s="1"/>
  <c r="K516" i="13"/>
  <c r="P514" i="13"/>
  <c r="O514" i="13"/>
  <c r="P513" i="13"/>
  <c r="O513" i="13"/>
  <c r="O512" i="13"/>
  <c r="N512" i="13"/>
  <c r="M512" i="13"/>
  <c r="P512" i="13" s="1"/>
  <c r="L512" i="13"/>
  <c r="P507" i="13"/>
  <c r="O507" i="13"/>
  <c r="N507" i="13"/>
  <c r="P506" i="13"/>
  <c r="O506" i="13"/>
  <c r="O505" i="13"/>
  <c r="N505" i="13"/>
  <c r="M505" i="13"/>
  <c r="P505" i="13" s="1"/>
  <c r="L505" i="13"/>
  <c r="P504" i="13"/>
  <c r="N504" i="13"/>
  <c r="M504" i="13"/>
  <c r="L504" i="13"/>
  <c r="O504" i="13" s="1"/>
  <c r="N503" i="13"/>
  <c r="M503" i="13"/>
  <c r="M502" i="13" s="1"/>
  <c r="P502" i="13" s="1"/>
  <c r="L503" i="13"/>
  <c r="L502" i="13" s="1"/>
  <c r="O502" i="13" s="1"/>
  <c r="N502" i="13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L477" i="13" s="1"/>
  <c r="O477" i="13" s="1"/>
  <c r="P478" i="13"/>
  <c r="O478" i="13"/>
  <c r="P477" i="13"/>
  <c r="N477" i="13"/>
  <c r="M477" i="13"/>
  <c r="P472" i="13"/>
  <c r="N472" i="13"/>
  <c r="L472" i="13"/>
  <c r="L470" i="13" s="1"/>
  <c r="O470" i="13" s="1"/>
  <c r="P471" i="13"/>
  <c r="O471" i="13"/>
  <c r="M470" i="13"/>
  <c r="P470" i="13" s="1"/>
  <c r="P469" i="13"/>
  <c r="M469" i="13"/>
  <c r="N468" i="13"/>
  <c r="M468" i="13"/>
  <c r="L468" i="13"/>
  <c r="J466" i="13"/>
  <c r="I466" i="13"/>
  <c r="K466" i="13" s="1"/>
  <c r="J465" i="13"/>
  <c r="I465" i="13"/>
  <c r="K465" i="13" s="1"/>
  <c r="I464" i="13"/>
  <c r="I463" i="13"/>
  <c r="I462" i="13"/>
  <c r="K462" i="13" s="1"/>
  <c r="I460" i="13"/>
  <c r="K460" i="13" s="1"/>
  <c r="K458" i="13"/>
  <c r="P456" i="13"/>
  <c r="L456" i="13"/>
  <c r="P455" i="13"/>
  <c r="O455" i="13"/>
  <c r="N454" i="13"/>
  <c r="M454" i="13"/>
  <c r="P454" i="13" s="1"/>
  <c r="P449" i="13"/>
  <c r="N449" i="13"/>
  <c r="L449" i="13"/>
  <c r="O449" i="13" s="1"/>
  <c r="P448" i="13"/>
  <c r="O448" i="13"/>
  <c r="P447" i="13"/>
  <c r="N447" i="13"/>
  <c r="M447" i="13"/>
  <c r="N446" i="13"/>
  <c r="M446" i="13"/>
  <c r="P446" i="13" s="1"/>
  <c r="N445" i="13"/>
  <c r="N444" i="13" s="1"/>
  <c r="M445" i="13"/>
  <c r="P445" i="13" s="1"/>
  <c r="L445" i="13"/>
  <c r="O445" i="13" s="1"/>
  <c r="M444" i="13"/>
  <c r="P444" i="13" s="1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J434" i="13"/>
  <c r="P431" i="13"/>
  <c r="L431" i="13"/>
  <c r="P430" i="13"/>
  <c r="O430" i="13"/>
  <c r="P429" i="13"/>
  <c r="N429" i="13"/>
  <c r="M429" i="13"/>
  <c r="P424" i="13"/>
  <c r="N424" i="13"/>
  <c r="L424" i="13"/>
  <c r="L422" i="13" s="1"/>
  <c r="O422" i="13" s="1"/>
  <c r="P423" i="13"/>
  <c r="O423" i="13"/>
  <c r="P422" i="13"/>
  <c r="N422" i="13"/>
  <c r="M422" i="13"/>
  <c r="N421" i="13"/>
  <c r="M421" i="13"/>
  <c r="P421" i="13" s="1"/>
  <c r="N420" i="13"/>
  <c r="M420" i="13"/>
  <c r="M419" i="13" s="1"/>
  <c r="L420" i="13"/>
  <c r="O420" i="13" s="1"/>
  <c r="J418" i="13"/>
  <c r="K413" i="13"/>
  <c r="K412" i="13"/>
  <c r="N410" i="13"/>
  <c r="N408" i="13" s="1"/>
  <c r="M410" i="13"/>
  <c r="L410" i="13"/>
  <c r="P409" i="13"/>
  <c r="O409" i="13"/>
  <c r="N407" i="13"/>
  <c r="M407" i="13"/>
  <c r="L407" i="13"/>
  <c r="O407" i="13" s="1"/>
  <c r="P406" i="13"/>
  <c r="O406" i="13"/>
  <c r="P403" i="13"/>
  <c r="N403" i="13"/>
  <c r="M403" i="13"/>
  <c r="L403" i="13"/>
  <c r="J401" i="13"/>
  <c r="I401" i="13"/>
  <c r="K401" i="13" s="1"/>
  <c r="K400" i="13"/>
  <c r="K399" i="13"/>
  <c r="N397" i="13"/>
  <c r="N395" i="13" s="1"/>
  <c r="M397" i="13"/>
  <c r="L397" i="13"/>
  <c r="O397" i="13" s="1"/>
  <c r="P396" i="13"/>
  <c r="O396" i="13"/>
  <c r="N394" i="13"/>
  <c r="M394" i="13"/>
  <c r="L394" i="13"/>
  <c r="P393" i="13"/>
  <c r="O393" i="13"/>
  <c r="N390" i="13"/>
  <c r="M390" i="13"/>
  <c r="P390" i="13" s="1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1" i="13" s="1"/>
  <c r="K380" i="13"/>
  <c r="J380" i="13"/>
  <c r="J379" i="13"/>
  <c r="I379" i="13"/>
  <c r="K379" i="13" s="1"/>
  <c r="J378" i="13"/>
  <c r="I378" i="13"/>
  <c r="K378" i="13" s="1"/>
  <c r="K377" i="13"/>
  <c r="J377" i="13"/>
  <c r="I374" i="13"/>
  <c r="K374" i="13" s="1"/>
  <c r="K373" i="13"/>
  <c r="J373" i="13"/>
  <c r="J372" i="13"/>
  <c r="J365" i="13" s="1"/>
  <c r="I372" i="13"/>
  <c r="K372" i="13" s="1"/>
  <c r="K371" i="13"/>
  <c r="J371" i="13"/>
  <c r="J370" i="13"/>
  <c r="I370" i="13"/>
  <c r="K370" i="13" s="1"/>
  <c r="J369" i="13"/>
  <c r="I369" i="13"/>
  <c r="K369" i="13" s="1"/>
  <c r="K368" i="13"/>
  <c r="J368" i="13"/>
  <c r="I365" i="13"/>
  <c r="K365" i="13" s="1"/>
  <c r="K363" i="13"/>
  <c r="J363" i="13"/>
  <c r="J362" i="13"/>
  <c r="J355" i="13" s="1"/>
  <c r="I362" i="13"/>
  <c r="K362" i="13" s="1"/>
  <c r="K361" i="13"/>
  <c r="J361" i="13"/>
  <c r="J360" i="13"/>
  <c r="I360" i="13"/>
  <c r="K360" i="13" s="1"/>
  <c r="J359" i="13"/>
  <c r="I359" i="13"/>
  <c r="K359" i="13" s="1"/>
  <c r="K358" i="13"/>
  <c r="J358" i="13"/>
  <c r="I355" i="13"/>
  <c r="K355" i="13" s="1"/>
  <c r="N353" i="13"/>
  <c r="M353" i="13"/>
  <c r="M351" i="13" s="1"/>
  <c r="L353" i="13"/>
  <c r="L351" i="13" s="1"/>
  <c r="P352" i="13"/>
  <c r="O352" i="13"/>
  <c r="N350" i="13"/>
  <c r="N348" i="13" s="1"/>
  <c r="M350" i="13"/>
  <c r="L350" i="13"/>
  <c r="P349" i="13"/>
  <c r="O349" i="13"/>
  <c r="O346" i="13"/>
  <c r="N346" i="13"/>
  <c r="M346" i="13"/>
  <c r="P346" i="13" s="1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L334" i="13" s="1"/>
  <c r="O334" i="13" s="1"/>
  <c r="P335" i="13"/>
  <c r="O335" i="13"/>
  <c r="N333" i="13"/>
  <c r="M333" i="13"/>
  <c r="M331" i="13" s="1"/>
  <c r="L333" i="13"/>
  <c r="L331" i="13" s="1"/>
  <c r="P332" i="13"/>
  <c r="O332" i="13"/>
  <c r="P329" i="13"/>
  <c r="N329" i="13"/>
  <c r="M329" i="13"/>
  <c r="L329" i="13"/>
  <c r="O329" i="13" s="1"/>
  <c r="I327" i="13"/>
  <c r="I325" i="13"/>
  <c r="I314" i="13" s="1"/>
  <c r="K314" i="13" s="1"/>
  <c r="N323" i="13"/>
  <c r="N321" i="13" s="1"/>
  <c r="M323" i="13"/>
  <c r="P323" i="13" s="1"/>
  <c r="L323" i="13"/>
  <c r="O323" i="13" s="1"/>
  <c r="P322" i="13"/>
  <c r="O322" i="13"/>
  <c r="N320" i="13"/>
  <c r="M320" i="13"/>
  <c r="P320" i="13" s="1"/>
  <c r="L320" i="13"/>
  <c r="L318" i="13" s="1"/>
  <c r="O318" i="13" s="1"/>
  <c r="P319" i="13"/>
  <c r="O319" i="13"/>
  <c r="P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N306" i="13"/>
  <c r="M306" i="13"/>
  <c r="P306" i="13" s="1"/>
  <c r="L306" i="13"/>
  <c r="P305" i="13"/>
  <c r="O305" i="13"/>
  <c r="N303" i="13"/>
  <c r="N301" i="13" s="1"/>
  <c r="M303" i="13"/>
  <c r="L303" i="13"/>
  <c r="P302" i="13"/>
  <c r="O302" i="13"/>
  <c r="N299" i="13"/>
  <c r="M299" i="13"/>
  <c r="P299" i="13" s="1"/>
  <c r="L299" i="13"/>
  <c r="O299" i="13" s="1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L285" i="13"/>
  <c r="L283" i="13" s="1"/>
  <c r="O283" i="13" s="1"/>
  <c r="P284" i="13"/>
  <c r="O284" i="13"/>
  <c r="N282" i="13"/>
  <c r="M282" i="13"/>
  <c r="P282" i="13" s="1"/>
  <c r="L282" i="13"/>
  <c r="P281" i="13"/>
  <c r="O281" i="13"/>
  <c r="P278" i="13"/>
  <c r="N278" i="13"/>
  <c r="M278" i="13"/>
  <c r="L278" i="13"/>
  <c r="O278" i="13" s="1"/>
  <c r="J276" i="13"/>
  <c r="I271" i="13"/>
  <c r="N269" i="13"/>
  <c r="N267" i="13" s="1"/>
  <c r="M269" i="13"/>
  <c r="L269" i="13"/>
  <c r="O269" i="13" s="1"/>
  <c r="P268" i="13"/>
  <c r="O268" i="13"/>
  <c r="N266" i="13"/>
  <c r="N264" i="13" s="1"/>
  <c r="M266" i="13"/>
  <c r="L266" i="13"/>
  <c r="P265" i="13"/>
  <c r="O265" i="13"/>
  <c r="O262" i="13"/>
  <c r="N262" i="13"/>
  <c r="M262" i="13"/>
  <c r="L262" i="13"/>
  <c r="J260" i="13"/>
  <c r="K258" i="13"/>
  <c r="K257" i="13"/>
  <c r="I255" i="13"/>
  <c r="K255" i="13" s="1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N227" i="13" s="1"/>
  <c r="J237" i="13"/>
  <c r="J226" i="13" s="1"/>
  <c r="J180" i="13" s="1"/>
  <c r="K236" i="13"/>
  <c r="J236" i="13"/>
  <c r="I236" i="13"/>
  <c r="J235" i="13"/>
  <c r="K235" i="13" s="1"/>
  <c r="I235" i="13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14" i="13"/>
  <c r="K214" i="13" s="1"/>
  <c r="L212" i="13"/>
  <c r="L211" i="13"/>
  <c r="L210" i="13"/>
  <c r="P209" i="13"/>
  <c r="N209" i="13"/>
  <c r="J208" i="13"/>
  <c r="I204" i="13"/>
  <c r="I197" i="13" s="1"/>
  <c r="K197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P189" i="13" s="1"/>
  <c r="L189" i="13"/>
  <c r="L187" i="13" s="1"/>
  <c r="O187" i="13" s="1"/>
  <c r="P188" i="13"/>
  <c r="O188" i="13"/>
  <c r="N186" i="13"/>
  <c r="M186" i="13"/>
  <c r="M184" i="13" s="1"/>
  <c r="L186" i="13"/>
  <c r="P185" i="13"/>
  <c r="O185" i="13"/>
  <c r="O182" i="13"/>
  <c r="N182" i="13"/>
  <c r="M182" i="13"/>
  <c r="L182" i="13"/>
  <c r="K180" i="13"/>
  <c r="J177" i="13"/>
  <c r="J164" i="13" s="1"/>
  <c r="I176" i="13"/>
  <c r="K176" i="13" s="1"/>
  <c r="J174" i="13"/>
  <c r="N173" i="13"/>
  <c r="N171" i="13" s="1"/>
  <c r="M173" i="13"/>
  <c r="L173" i="13"/>
  <c r="L171" i="13" s="1"/>
  <c r="O171" i="13" s="1"/>
  <c r="P172" i="13"/>
  <c r="O172" i="13"/>
  <c r="N170" i="13"/>
  <c r="M170" i="13"/>
  <c r="L170" i="13"/>
  <c r="P169" i="13"/>
  <c r="O169" i="13"/>
  <c r="N166" i="13"/>
  <c r="M166" i="13"/>
  <c r="L166" i="13"/>
  <c r="O166" i="13" s="1"/>
  <c r="I159" i="13"/>
  <c r="N157" i="13"/>
  <c r="N155" i="13" s="1"/>
  <c r="M157" i="13"/>
  <c r="L157" i="13"/>
  <c r="O157" i="13" s="1"/>
  <c r="P156" i="13"/>
  <c r="O156" i="13"/>
  <c r="N154" i="13"/>
  <c r="N152" i="13" s="1"/>
  <c r="M154" i="13"/>
  <c r="L154" i="13"/>
  <c r="L152" i="13" s="1"/>
  <c r="P153" i="13"/>
  <c r="O153" i="13"/>
  <c r="P150" i="13"/>
  <c r="N150" i="13"/>
  <c r="M150" i="13"/>
  <c r="L150" i="13"/>
  <c r="J148" i="13"/>
  <c r="I146" i="13"/>
  <c r="K146" i="13" s="1"/>
  <c r="I145" i="13"/>
  <c r="I144" i="13"/>
  <c r="N140" i="13"/>
  <c r="N138" i="13" s="1"/>
  <c r="M140" i="13"/>
  <c r="L140" i="13"/>
  <c r="P139" i="13"/>
  <c r="O139" i="13"/>
  <c r="N137" i="13"/>
  <c r="M137" i="13"/>
  <c r="P137" i="13" s="1"/>
  <c r="L137" i="13"/>
  <c r="P136" i="13"/>
  <c r="O136" i="13"/>
  <c r="O133" i="13"/>
  <c r="N133" i="13"/>
  <c r="M133" i="13"/>
  <c r="L133" i="13"/>
  <c r="J130" i="13"/>
  <c r="N127" i="13"/>
  <c r="N125" i="13" s="1"/>
  <c r="M127" i="13"/>
  <c r="M125" i="13" s="1"/>
  <c r="P125" i="13" s="1"/>
  <c r="L127" i="13"/>
  <c r="L125" i="13" s="1"/>
  <c r="O125" i="13" s="1"/>
  <c r="P126" i="13"/>
  <c r="O126" i="13"/>
  <c r="N124" i="13"/>
  <c r="N122" i="13" s="1"/>
  <c r="M124" i="13"/>
  <c r="M122" i="13" s="1"/>
  <c r="P122" i="13" s="1"/>
  <c r="L124" i="13"/>
  <c r="L122" i="13" s="1"/>
  <c r="O122" i="13" s="1"/>
  <c r="P123" i="13"/>
  <c r="O123" i="13"/>
  <c r="P120" i="13"/>
  <c r="N120" i="13"/>
  <c r="M120" i="13"/>
  <c r="L120" i="13"/>
  <c r="I116" i="13"/>
  <c r="K116" i="13" s="1"/>
  <c r="I115" i="13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J87" i="13" s="1"/>
  <c r="I99" i="13"/>
  <c r="K99" i="13" s="1"/>
  <c r="J98" i="13"/>
  <c r="I98" i="13"/>
  <c r="I86" i="13" s="1"/>
  <c r="K86" i="13" s="1"/>
  <c r="N96" i="13"/>
  <c r="N94" i="13" s="1"/>
  <c r="M96" i="13"/>
  <c r="L96" i="13"/>
  <c r="O96" i="13" s="1"/>
  <c r="P95" i="13"/>
  <c r="O95" i="13"/>
  <c r="N93" i="13"/>
  <c r="M93" i="13"/>
  <c r="L93" i="13"/>
  <c r="L91" i="13" s="1"/>
  <c r="P92" i="13"/>
  <c r="O92" i="13"/>
  <c r="P89" i="13"/>
  <c r="N89" i="13"/>
  <c r="M89" i="13"/>
  <c r="L89" i="13"/>
  <c r="J86" i="13"/>
  <c r="I84" i="13"/>
  <c r="K84" i="13" s="1"/>
  <c r="I83" i="13"/>
  <c r="K83" i="13" s="1"/>
  <c r="I82" i="13"/>
  <c r="K82" i="13" s="1"/>
  <c r="I81" i="13"/>
  <c r="I80" i="13"/>
  <c r="K80" i="13" s="1"/>
  <c r="I79" i="13"/>
  <c r="K79" i="13" s="1"/>
  <c r="I78" i="13"/>
  <c r="K78" i="13" s="1"/>
  <c r="J77" i="13"/>
  <c r="J76" i="13"/>
  <c r="N74" i="13"/>
  <c r="N72" i="13" s="1"/>
  <c r="M74" i="13"/>
  <c r="P74" i="13" s="1"/>
  <c r="L74" i="13"/>
  <c r="P73" i="13"/>
  <c r="O73" i="13"/>
  <c r="N71" i="13"/>
  <c r="N69" i="13" s="1"/>
  <c r="M71" i="13"/>
  <c r="L71" i="13"/>
  <c r="P70" i="13"/>
  <c r="O70" i="13"/>
  <c r="O67" i="13"/>
  <c r="N67" i="13"/>
  <c r="M67" i="13"/>
  <c r="P67" i="13" s="1"/>
  <c r="L67" i="13"/>
  <c r="J65" i="13"/>
  <c r="J64" i="13"/>
  <c r="N61" i="13"/>
  <c r="M61" i="13"/>
  <c r="M59" i="13" s="1"/>
  <c r="P59" i="13" s="1"/>
  <c r="L61" i="13"/>
  <c r="O61" i="13" s="1"/>
  <c r="P60" i="13"/>
  <c r="O60" i="13"/>
  <c r="N58" i="13"/>
  <c r="M58" i="13"/>
  <c r="M56" i="13" s="1"/>
  <c r="L58" i="13"/>
  <c r="L56" i="13" s="1"/>
  <c r="P57" i="13"/>
  <c r="O57" i="13"/>
  <c r="P54" i="13"/>
  <c r="O54" i="13"/>
  <c r="N54" i="13"/>
  <c r="M54" i="13"/>
  <c r="L54" i="13"/>
  <c r="N49" i="13"/>
  <c r="M49" i="13"/>
  <c r="P49" i="13" s="1"/>
  <c r="L49" i="13"/>
  <c r="P48" i="13"/>
  <c r="O48" i="13"/>
  <c r="N46" i="13"/>
  <c r="M46" i="13"/>
  <c r="M44" i="13" s="1"/>
  <c r="L46" i="13"/>
  <c r="L44" i="13" s="1"/>
  <c r="P45" i="13"/>
  <c r="O45" i="13"/>
  <c r="N42" i="13"/>
  <c r="M42" i="13"/>
  <c r="P42" i="13" s="1"/>
  <c r="L42" i="13"/>
  <c r="O42" i="13" s="1"/>
  <c r="P36" i="13"/>
  <c r="N36" i="13"/>
  <c r="M36" i="13"/>
  <c r="O35" i="13"/>
  <c r="N35" i="13"/>
  <c r="M35" i="13"/>
  <c r="P35" i="13" s="1"/>
  <c r="L35" i="13"/>
  <c r="M34" i="13"/>
  <c r="P34" i="13" s="1"/>
  <c r="N33" i="13"/>
  <c r="N30" i="13" s="1"/>
  <c r="M33" i="13"/>
  <c r="P32" i="13"/>
  <c r="N32" i="13"/>
  <c r="M32" i="13"/>
  <c r="M29" i="13" s="1"/>
  <c r="L32" i="13"/>
  <c r="M31" i="13"/>
  <c r="P31" i="13" s="1"/>
  <c r="P29" i="13"/>
  <c r="N25" i="13"/>
  <c r="M25" i="13"/>
  <c r="P25" i="13" s="1"/>
  <c r="L25" i="13"/>
  <c r="P22" i="13"/>
  <c r="O22" i="13"/>
  <c r="N22" i="13"/>
  <c r="N19" i="13" s="1"/>
  <c r="M22" i="13"/>
  <c r="L22" i="13"/>
  <c r="L19" i="13"/>
  <c r="M15" i="13"/>
  <c r="M12" i="13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P817" i="12"/>
  <c r="O817" i="12"/>
  <c r="P816" i="12"/>
  <c r="O816" i="12"/>
  <c r="O815" i="12"/>
  <c r="N815" i="12"/>
  <c r="M815" i="12"/>
  <c r="P815" i="12" s="1"/>
  <c r="L815" i="12"/>
  <c r="P810" i="12"/>
  <c r="O810" i="12"/>
  <c r="N810" i="12"/>
  <c r="P809" i="12"/>
  <c r="O809" i="12"/>
  <c r="O808" i="12"/>
  <c r="M808" i="12"/>
  <c r="P808" i="12" s="1"/>
  <c r="L808" i="12"/>
  <c r="P807" i="12"/>
  <c r="M807" i="12"/>
  <c r="L807" i="12"/>
  <c r="O806" i="12"/>
  <c r="N806" i="12"/>
  <c r="M806" i="12"/>
  <c r="P806" i="12" s="1"/>
  <c r="L806" i="12"/>
  <c r="P805" i="12"/>
  <c r="M805" i="12"/>
  <c r="K804" i="12"/>
  <c r="J804" i="12"/>
  <c r="K802" i="12"/>
  <c r="J801" i="12"/>
  <c r="J800" i="12"/>
  <c r="J785" i="12" s="1"/>
  <c r="I800" i="12"/>
  <c r="I785" i="12" s="1"/>
  <c r="K785" i="12" s="1"/>
  <c r="P798" i="12"/>
  <c r="O798" i="12"/>
  <c r="P797" i="12"/>
  <c r="O797" i="12"/>
  <c r="P796" i="12"/>
  <c r="N796" i="12"/>
  <c r="M796" i="12"/>
  <c r="L796" i="12"/>
  <c r="O796" i="12" s="1"/>
  <c r="P791" i="12"/>
  <c r="N791" i="12"/>
  <c r="L791" i="12"/>
  <c r="L788" i="12" s="1"/>
  <c r="P790" i="12"/>
  <c r="O790" i="12"/>
  <c r="N789" i="12"/>
  <c r="M789" i="12"/>
  <c r="P789" i="12" s="1"/>
  <c r="P788" i="12"/>
  <c r="N788" i="12"/>
  <c r="M788" i="12"/>
  <c r="O787" i="12"/>
  <c r="N787" i="12"/>
  <c r="N786" i="12" s="1"/>
  <c r="M787" i="12"/>
  <c r="P787" i="12" s="1"/>
  <c r="L787" i="12"/>
  <c r="P782" i="12"/>
  <c r="O782" i="12"/>
  <c r="P781" i="12"/>
  <c r="O781" i="12"/>
  <c r="P780" i="12"/>
  <c r="N780" i="12"/>
  <c r="M780" i="12"/>
  <c r="L780" i="12"/>
  <c r="O780" i="12" s="1"/>
  <c r="P775" i="12"/>
  <c r="O775" i="12"/>
  <c r="N775" i="12"/>
  <c r="N772" i="12" s="1"/>
  <c r="P774" i="12"/>
  <c r="O774" i="12"/>
  <c r="P773" i="12"/>
  <c r="N773" i="12"/>
  <c r="M773" i="12"/>
  <c r="L773" i="12"/>
  <c r="O773" i="12" s="1"/>
  <c r="O772" i="12"/>
  <c r="M772" i="12"/>
  <c r="L772" i="12"/>
  <c r="P771" i="12"/>
  <c r="N771" i="12"/>
  <c r="N770" i="12" s="1"/>
  <c r="M771" i="12"/>
  <c r="L771" i="12"/>
  <c r="K769" i="12"/>
  <c r="J769" i="12"/>
  <c r="P766" i="12"/>
  <c r="O766" i="12"/>
  <c r="P765" i="12"/>
  <c r="O765" i="12"/>
  <c r="P764" i="12"/>
  <c r="N764" i="12"/>
  <c r="M764" i="12"/>
  <c r="L764" i="12"/>
  <c r="O764" i="12" s="1"/>
  <c r="P759" i="12"/>
  <c r="O759" i="12"/>
  <c r="N759" i="12"/>
  <c r="N756" i="12" s="1"/>
  <c r="P758" i="12"/>
  <c r="O758" i="12"/>
  <c r="P757" i="12"/>
  <c r="N757" i="12"/>
  <c r="M757" i="12"/>
  <c r="L757" i="12"/>
  <c r="O757" i="12" s="1"/>
  <c r="O756" i="12"/>
  <c r="M756" i="12"/>
  <c r="L756" i="12"/>
  <c r="P755" i="12"/>
  <c r="N755" i="12"/>
  <c r="N754" i="12" s="1"/>
  <c r="M755" i="12"/>
  <c r="L755" i="12"/>
  <c r="K753" i="12"/>
  <c r="J753" i="12"/>
  <c r="P749" i="12"/>
  <c r="O749" i="12"/>
  <c r="P748" i="12"/>
  <c r="O748" i="12"/>
  <c r="P747" i="12"/>
  <c r="N747" i="12"/>
  <c r="M747" i="12"/>
  <c r="L747" i="12"/>
  <c r="O747" i="12" s="1"/>
  <c r="P742" i="12"/>
  <c r="O742" i="12"/>
  <c r="N742" i="12"/>
  <c r="N739" i="12" s="1"/>
  <c r="P741" i="12"/>
  <c r="O741" i="12"/>
  <c r="P740" i="12"/>
  <c r="N740" i="12"/>
  <c r="M740" i="12"/>
  <c r="L740" i="12"/>
  <c r="O740" i="12" s="1"/>
  <c r="O739" i="12"/>
  <c r="M739" i="12"/>
  <c r="L739" i="12"/>
  <c r="P738" i="12"/>
  <c r="N738" i="12"/>
  <c r="M738" i="12"/>
  <c r="L738" i="12"/>
  <c r="K736" i="12"/>
  <c r="J736" i="12"/>
  <c r="J729" i="12"/>
  <c r="I729" i="12"/>
  <c r="K729" i="12" s="1"/>
  <c r="J728" i="12"/>
  <c r="I728" i="12"/>
  <c r="J727" i="12"/>
  <c r="J726" i="12"/>
  <c r="I726" i="12"/>
  <c r="J725" i="12"/>
  <c r="I725" i="12"/>
  <c r="J724" i="12"/>
  <c r="J723" i="12"/>
  <c r="I723" i="12"/>
  <c r="I722" i="12"/>
  <c r="I721" i="12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P690" i="12"/>
  <c r="N690" i="12"/>
  <c r="N688" i="12" s="1"/>
  <c r="L690" i="12"/>
  <c r="L688" i="12" s="1"/>
  <c r="O688" i="12" s="1"/>
  <c r="M688" i="12"/>
  <c r="P688" i="12" s="1"/>
  <c r="P687" i="12"/>
  <c r="N687" i="12"/>
  <c r="M687" i="12"/>
  <c r="O686" i="12"/>
  <c r="N686" i="12"/>
  <c r="N685" i="12" s="1"/>
  <c r="M686" i="12"/>
  <c r="P686" i="12" s="1"/>
  <c r="L686" i="12"/>
  <c r="P685" i="12"/>
  <c r="M685" i="12"/>
  <c r="J679" i="12"/>
  <c r="J678" i="12"/>
  <c r="I678" i="12"/>
  <c r="K678" i="12" s="1"/>
  <c r="J675" i="12"/>
  <c r="J669" i="12" s="1"/>
  <c r="J654" i="12" s="1"/>
  <c r="I671" i="12"/>
  <c r="K671" i="12" s="1"/>
  <c r="I670" i="12"/>
  <c r="K670" i="12" s="1"/>
  <c r="I669" i="12"/>
  <c r="K672" i="12" s="1"/>
  <c r="P667" i="12"/>
  <c r="O667" i="12"/>
  <c r="P666" i="12"/>
  <c r="O666" i="12"/>
  <c r="O665" i="12"/>
  <c r="N665" i="12"/>
  <c r="M665" i="12"/>
  <c r="P665" i="12" s="1"/>
  <c r="L665" i="12"/>
  <c r="P660" i="12"/>
  <c r="N660" i="12"/>
  <c r="N657" i="12" s="1"/>
  <c r="L660" i="12"/>
  <c r="P659" i="12"/>
  <c r="O659" i="12"/>
  <c r="P658" i="12"/>
  <c r="N658" i="12"/>
  <c r="M658" i="12"/>
  <c r="M657" i="12"/>
  <c r="P657" i="12" s="1"/>
  <c r="P656" i="12"/>
  <c r="N656" i="12"/>
  <c r="M656" i="12"/>
  <c r="L656" i="12"/>
  <c r="M655" i="12"/>
  <c r="P655" i="12" s="1"/>
  <c r="K652" i="12"/>
  <c r="J652" i="12"/>
  <c r="J651" i="12"/>
  <c r="J628" i="12" s="1"/>
  <c r="I651" i="12"/>
  <c r="K650" i="12"/>
  <c r="J650" i="12"/>
  <c r="J649" i="12"/>
  <c r="I649" i="12"/>
  <c r="K649" i="12" s="1"/>
  <c r="K648" i="12"/>
  <c r="J648" i="12"/>
  <c r="J647" i="12"/>
  <c r="I647" i="12"/>
  <c r="K647" i="12" s="1"/>
  <c r="K646" i="12"/>
  <c r="J646" i="12"/>
  <c r="K645" i="12"/>
  <c r="J645" i="12"/>
  <c r="I644" i="12"/>
  <c r="K644" i="12" s="1"/>
  <c r="I643" i="12"/>
  <c r="K643" i="12" s="1"/>
  <c r="P641" i="12"/>
  <c r="L641" i="12"/>
  <c r="P640" i="12"/>
  <c r="O640" i="12"/>
  <c r="N639" i="12"/>
  <c r="M639" i="12"/>
  <c r="P639" i="12" s="1"/>
  <c r="P634" i="12"/>
  <c r="N634" i="12"/>
  <c r="N631" i="12" s="1"/>
  <c r="L634" i="12"/>
  <c r="O634" i="12" s="1"/>
  <c r="P633" i="12"/>
  <c r="O633" i="12"/>
  <c r="P632" i="12"/>
  <c r="N632" i="12"/>
  <c r="M632" i="12"/>
  <c r="L632" i="12"/>
  <c r="O632" i="12" s="1"/>
  <c r="M631" i="12"/>
  <c r="P631" i="12" s="1"/>
  <c r="P630" i="12"/>
  <c r="N630" i="12"/>
  <c r="M630" i="12"/>
  <c r="M629" i="12" s="1"/>
  <c r="P629" i="12" s="1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3" i="12" s="1"/>
  <c r="J594" i="12"/>
  <c r="I594" i="12"/>
  <c r="I593" i="12"/>
  <c r="I592" i="12" s="1"/>
  <c r="J592" i="12"/>
  <c r="J583" i="12"/>
  <c r="J577" i="12" s="1"/>
  <c r="J582" i="12"/>
  <c r="J576" i="12" s="1"/>
  <c r="J559" i="12" s="1"/>
  <c r="J543" i="12" s="1"/>
  <c r="I577" i="12"/>
  <c r="K577" i="12" s="1"/>
  <c r="I576" i="12"/>
  <c r="K576" i="12" s="1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O557" i="12" s="1"/>
  <c r="P556" i="12"/>
  <c r="O556" i="12"/>
  <c r="P555" i="12"/>
  <c r="N555" i="12"/>
  <c r="N545" i="12" s="1"/>
  <c r="M555" i="12"/>
  <c r="P549" i="12"/>
  <c r="N549" i="12"/>
  <c r="L549" i="12"/>
  <c r="O549" i="12" s="1"/>
  <c r="P548" i="12"/>
  <c r="O548" i="12"/>
  <c r="N547" i="12"/>
  <c r="M547" i="12"/>
  <c r="P547" i="12" s="1"/>
  <c r="P546" i="12"/>
  <c r="N546" i="12"/>
  <c r="M546" i="12"/>
  <c r="O545" i="12"/>
  <c r="M545" i="12"/>
  <c r="L545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I522" i="12" s="1"/>
  <c r="K522" i="12" s="1"/>
  <c r="P535" i="12"/>
  <c r="L535" i="12"/>
  <c r="O535" i="12" s="1"/>
  <c r="P534" i="12"/>
  <c r="O534" i="12"/>
  <c r="P533" i="12"/>
  <c r="N533" i="12"/>
  <c r="M533" i="12"/>
  <c r="P528" i="12"/>
  <c r="N528" i="12"/>
  <c r="L528" i="12"/>
  <c r="P527" i="12"/>
  <c r="O527" i="12"/>
  <c r="N526" i="12"/>
  <c r="M526" i="12"/>
  <c r="P526" i="12" s="1"/>
  <c r="P525" i="12"/>
  <c r="N525" i="12"/>
  <c r="M525" i="12"/>
  <c r="O524" i="12"/>
  <c r="N524" i="12"/>
  <c r="N523" i="12" s="1"/>
  <c r="M524" i="12"/>
  <c r="P524" i="12" s="1"/>
  <c r="L524" i="12"/>
  <c r="P523" i="12"/>
  <c r="M523" i="12"/>
  <c r="K517" i="12"/>
  <c r="J517" i="12"/>
  <c r="J501" i="12" s="1"/>
  <c r="K516" i="12"/>
  <c r="P514" i="12"/>
  <c r="O514" i="12"/>
  <c r="P513" i="12"/>
  <c r="O513" i="12"/>
  <c r="O512" i="12"/>
  <c r="N512" i="12"/>
  <c r="M512" i="12"/>
  <c r="P512" i="12" s="1"/>
  <c r="L512" i="12"/>
  <c r="P507" i="12"/>
  <c r="O507" i="12"/>
  <c r="N507" i="12"/>
  <c r="N504" i="12" s="1"/>
  <c r="N502" i="12" s="1"/>
  <c r="P506" i="12"/>
  <c r="O506" i="12"/>
  <c r="O505" i="12"/>
  <c r="N505" i="12"/>
  <c r="M505" i="12"/>
  <c r="P505" i="12" s="1"/>
  <c r="L505" i="12"/>
  <c r="P504" i="12"/>
  <c r="M504" i="12"/>
  <c r="L504" i="12"/>
  <c r="O504" i="12" s="1"/>
  <c r="O503" i="12"/>
  <c r="N503" i="12"/>
  <c r="M503" i="12"/>
  <c r="M502" i="12" s="1"/>
  <c r="P502" i="12" s="1"/>
  <c r="L503" i="12"/>
  <c r="L502" i="12" s="1"/>
  <c r="O502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P477" i="12"/>
  <c r="N477" i="12"/>
  <c r="M477" i="12"/>
  <c r="P472" i="12"/>
  <c r="N472" i="12"/>
  <c r="N469" i="12" s="1"/>
  <c r="L472" i="12"/>
  <c r="O472" i="12" s="1"/>
  <c r="P471" i="12"/>
  <c r="O471" i="12"/>
  <c r="N470" i="12"/>
  <c r="M470" i="12"/>
  <c r="P470" i="12" s="1"/>
  <c r="P469" i="12"/>
  <c r="M469" i="12"/>
  <c r="O468" i="12"/>
  <c r="N468" i="12"/>
  <c r="M468" i="12"/>
  <c r="M467" i="12" s="1"/>
  <c r="P467" i="12" s="1"/>
  <c r="L468" i="12"/>
  <c r="N467" i="12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K458" i="12"/>
  <c r="P456" i="12"/>
  <c r="L456" i="12"/>
  <c r="P455" i="12"/>
  <c r="O455" i="12"/>
  <c r="N454" i="12"/>
  <c r="M454" i="12"/>
  <c r="P454" i="12" s="1"/>
  <c r="P449" i="12"/>
  <c r="N449" i="12"/>
  <c r="L449" i="12"/>
  <c r="O449" i="12" s="1"/>
  <c r="P448" i="12"/>
  <c r="O448" i="12"/>
  <c r="P447" i="12"/>
  <c r="N447" i="12"/>
  <c r="M447" i="12"/>
  <c r="N446" i="12"/>
  <c r="M446" i="12"/>
  <c r="P446" i="12" s="1"/>
  <c r="P445" i="12"/>
  <c r="N445" i="12"/>
  <c r="N444" i="12" s="1"/>
  <c r="M445" i="12"/>
  <c r="M444" i="12" s="1"/>
  <c r="P444" i="12" s="1"/>
  <c r="L445" i="12"/>
  <c r="O445" i="12" s="1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K435" i="12" s="1"/>
  <c r="J434" i="12"/>
  <c r="P431" i="12"/>
  <c r="L431" i="12"/>
  <c r="P430" i="12"/>
  <c r="O430" i="12"/>
  <c r="N429" i="12"/>
  <c r="M429" i="12"/>
  <c r="P429" i="12" s="1"/>
  <c r="P424" i="12"/>
  <c r="N424" i="12"/>
  <c r="L424" i="12"/>
  <c r="O424" i="12" s="1"/>
  <c r="P423" i="12"/>
  <c r="O423" i="12"/>
  <c r="P422" i="12"/>
  <c r="N422" i="12"/>
  <c r="M422" i="12"/>
  <c r="N421" i="12"/>
  <c r="M421" i="12"/>
  <c r="P421" i="12" s="1"/>
  <c r="P420" i="12"/>
  <c r="N420" i="12"/>
  <c r="N419" i="12" s="1"/>
  <c r="M420" i="12"/>
  <c r="M419" i="12" s="1"/>
  <c r="L420" i="12"/>
  <c r="O420" i="12" s="1"/>
  <c r="J418" i="12"/>
  <c r="K413" i="12"/>
  <c r="K412" i="12"/>
  <c r="N410" i="12"/>
  <c r="N408" i="12" s="1"/>
  <c r="M410" i="12"/>
  <c r="P410" i="12" s="1"/>
  <c r="L410" i="12"/>
  <c r="P409" i="12"/>
  <c r="O409" i="12"/>
  <c r="N407" i="12"/>
  <c r="N405" i="12" s="1"/>
  <c r="M407" i="12"/>
  <c r="P407" i="12" s="1"/>
  <c r="L407" i="12"/>
  <c r="P406" i="12"/>
  <c r="O406" i="12"/>
  <c r="P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P397" i="12" s="1"/>
  <c r="L397" i="12"/>
  <c r="P396" i="12"/>
  <c r="O396" i="12"/>
  <c r="N394" i="12"/>
  <c r="M394" i="12"/>
  <c r="L394" i="12"/>
  <c r="L392" i="12" s="1"/>
  <c r="O392" i="12" s="1"/>
  <c r="P393" i="12"/>
  <c r="O393" i="12"/>
  <c r="P390" i="12"/>
  <c r="N390" i="12"/>
  <c r="M390" i="12"/>
  <c r="L390" i="12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P352" i="12"/>
  <c r="O352" i="12"/>
  <c r="N350" i="12"/>
  <c r="N348" i="12" s="1"/>
  <c r="M350" i="12"/>
  <c r="L350" i="12"/>
  <c r="L348" i="12" s="1"/>
  <c r="P349" i="12"/>
  <c r="O349" i="12"/>
  <c r="P346" i="12"/>
  <c r="N346" i="12"/>
  <c r="M346" i="12"/>
  <c r="L346" i="12"/>
  <c r="O346" i="12" s="1"/>
  <c r="J343" i="12"/>
  <c r="J342" i="12"/>
  <c r="J341" i="12"/>
  <c r="J340" i="12"/>
  <c r="I340" i="12"/>
  <c r="J338" i="12"/>
  <c r="I338" i="12"/>
  <c r="N336" i="12"/>
  <c r="M336" i="12"/>
  <c r="L336" i="12"/>
  <c r="L334" i="12" s="1"/>
  <c r="O334" i="12" s="1"/>
  <c r="P335" i="12"/>
  <c r="O335" i="12"/>
  <c r="N333" i="12"/>
  <c r="M333" i="12"/>
  <c r="L333" i="12"/>
  <c r="L331" i="12" s="1"/>
  <c r="P332" i="12"/>
  <c r="O332" i="12"/>
  <c r="P329" i="12"/>
  <c r="O329" i="12"/>
  <c r="N329" i="12"/>
  <c r="M329" i="12"/>
  <c r="L329" i="12"/>
  <c r="I327" i="12"/>
  <c r="I325" i="12"/>
  <c r="I314" i="12" s="1"/>
  <c r="K314" i="12" s="1"/>
  <c r="N323" i="12"/>
  <c r="N321" i="12" s="1"/>
  <c r="M323" i="12"/>
  <c r="P323" i="12" s="1"/>
  <c r="L323" i="12"/>
  <c r="P322" i="12"/>
  <c r="O322" i="12"/>
  <c r="N320" i="12"/>
  <c r="M320" i="12"/>
  <c r="P320" i="12" s="1"/>
  <c r="L320" i="12"/>
  <c r="O320" i="12" s="1"/>
  <c r="P319" i="12"/>
  <c r="O319" i="12"/>
  <c r="P316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M304" i="12" s="1"/>
  <c r="P304" i="12" s="1"/>
  <c r="L306" i="12"/>
  <c r="L304" i="12" s="1"/>
  <c r="O304" i="12" s="1"/>
  <c r="P305" i="12"/>
  <c r="O305" i="12"/>
  <c r="N303" i="12"/>
  <c r="N301" i="12" s="1"/>
  <c r="M303" i="12"/>
  <c r="M301" i="12" s="1"/>
  <c r="L303" i="12"/>
  <c r="P302" i="12"/>
  <c r="O302" i="12"/>
  <c r="P299" i="12"/>
  <c r="N299" i="12"/>
  <c r="M299" i="12"/>
  <c r="L299" i="12"/>
  <c r="O299" i="12" s="1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K287" i="12" s="1"/>
  <c r="N285" i="12"/>
  <c r="M285" i="12"/>
  <c r="P285" i="12" s="1"/>
  <c r="L285" i="12"/>
  <c r="L283" i="12" s="1"/>
  <c r="O283" i="12" s="1"/>
  <c r="P284" i="12"/>
  <c r="O284" i="12"/>
  <c r="N282" i="12"/>
  <c r="N280" i="12" s="1"/>
  <c r="M282" i="12"/>
  <c r="P282" i="12" s="1"/>
  <c r="L282" i="12"/>
  <c r="L280" i="12" s="1"/>
  <c r="O280" i="12" s="1"/>
  <c r="P281" i="12"/>
  <c r="O281" i="12"/>
  <c r="N278" i="12"/>
  <c r="M278" i="12"/>
  <c r="P278" i="12" s="1"/>
  <c r="L278" i="12"/>
  <c r="J276" i="12"/>
  <c r="I271" i="12"/>
  <c r="K271" i="12" s="1"/>
  <c r="N269" i="12"/>
  <c r="N267" i="12" s="1"/>
  <c r="M269" i="12"/>
  <c r="P269" i="12" s="1"/>
  <c r="L269" i="12"/>
  <c r="O269" i="12" s="1"/>
  <c r="P268" i="12"/>
  <c r="O268" i="12"/>
  <c r="N266" i="12"/>
  <c r="N264" i="12" s="1"/>
  <c r="M266" i="12"/>
  <c r="P266" i="12" s="1"/>
  <c r="L266" i="12"/>
  <c r="L264" i="12" s="1"/>
  <c r="P265" i="12"/>
  <c r="O265" i="12"/>
  <c r="N262" i="12"/>
  <c r="M262" i="12"/>
  <c r="L262" i="12"/>
  <c r="O262" i="12" s="1"/>
  <c r="J260" i="12"/>
  <c r="K258" i="12"/>
  <c r="K257" i="12"/>
  <c r="I255" i="12"/>
  <c r="K255" i="12" s="1"/>
  <c r="L253" i="12"/>
  <c r="L252" i="12"/>
  <c r="L251" i="12"/>
  <c r="L250" i="12"/>
  <c r="P249" i="12"/>
  <c r="N249" i="12"/>
  <c r="J248" i="12"/>
  <c r="K247" i="12"/>
  <c r="K246" i="12"/>
  <c r="I244" i="12"/>
  <c r="I237" i="12" s="1"/>
  <c r="L242" i="12"/>
  <c r="L241" i="12"/>
  <c r="L240" i="12"/>
  <c r="L239" i="12"/>
  <c r="P238" i="12"/>
  <c r="N238" i="12"/>
  <c r="J237" i="12"/>
  <c r="J236" i="12"/>
  <c r="I236" i="12"/>
  <c r="K236" i="12" s="1"/>
  <c r="J235" i="12"/>
  <c r="I235" i="12"/>
  <c r="K235" i="12" s="1"/>
  <c r="J233" i="12"/>
  <c r="N231" i="12"/>
  <c r="N230" i="12"/>
  <c r="N229" i="12"/>
  <c r="N228" i="12"/>
  <c r="N227" i="12"/>
  <c r="I225" i="12"/>
  <c r="K225" i="12" s="1"/>
  <c r="I224" i="12"/>
  <c r="K224" i="12" s="1"/>
  <c r="I223" i="12"/>
  <c r="K223" i="12" s="1"/>
  <c r="L220" i="12"/>
  <c r="L219" i="12"/>
  <c r="L218" i="12"/>
  <c r="P217" i="12"/>
  <c r="N217" i="12"/>
  <c r="J216" i="12"/>
  <c r="I215" i="12"/>
  <c r="I208" i="12" s="1"/>
  <c r="K208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P188" i="12"/>
  <c r="O188" i="12"/>
  <c r="N186" i="12"/>
  <c r="N184" i="12" s="1"/>
  <c r="M186" i="12"/>
  <c r="L186" i="12"/>
  <c r="L184" i="12" s="1"/>
  <c r="P185" i="12"/>
  <c r="O185" i="12"/>
  <c r="P182" i="12"/>
  <c r="O182" i="12"/>
  <c r="N182" i="12"/>
  <c r="M182" i="12"/>
  <c r="L182" i="12"/>
  <c r="K180" i="12"/>
  <c r="J177" i="12"/>
  <c r="J164" i="12" s="1"/>
  <c r="I176" i="12"/>
  <c r="K176" i="12" s="1"/>
  <c r="J174" i="12"/>
  <c r="N173" i="12"/>
  <c r="N171" i="12" s="1"/>
  <c r="M173" i="12"/>
  <c r="P173" i="12" s="1"/>
  <c r="L173" i="12"/>
  <c r="O173" i="12" s="1"/>
  <c r="P172" i="12"/>
  <c r="O172" i="12"/>
  <c r="N170" i="12"/>
  <c r="N168" i="12" s="1"/>
  <c r="M170" i="12"/>
  <c r="M168" i="12" s="1"/>
  <c r="L170" i="12"/>
  <c r="L168" i="12" s="1"/>
  <c r="P169" i="12"/>
  <c r="O169" i="12"/>
  <c r="O166" i="12"/>
  <c r="N166" i="12"/>
  <c r="M166" i="12"/>
  <c r="P166" i="12" s="1"/>
  <c r="L166" i="12"/>
  <c r="I159" i="12"/>
  <c r="I148" i="12" s="1"/>
  <c r="K148" i="12" s="1"/>
  <c r="N157" i="12"/>
  <c r="N155" i="12" s="1"/>
  <c r="M157" i="12"/>
  <c r="M155" i="12" s="1"/>
  <c r="P155" i="12" s="1"/>
  <c r="L157" i="12"/>
  <c r="O157" i="12" s="1"/>
  <c r="P156" i="12"/>
  <c r="O156" i="12"/>
  <c r="N154" i="12"/>
  <c r="N152" i="12" s="1"/>
  <c r="M154" i="12"/>
  <c r="L154" i="12"/>
  <c r="O154" i="12" s="1"/>
  <c r="P153" i="12"/>
  <c r="O153" i="12"/>
  <c r="P150" i="12"/>
  <c r="O150" i="12"/>
  <c r="N150" i="12"/>
  <c r="M150" i="12"/>
  <c r="L150" i="12"/>
  <c r="J148" i="12"/>
  <c r="I146" i="12"/>
  <c r="K146" i="12" s="1"/>
  <c r="I145" i="12"/>
  <c r="I144" i="12"/>
  <c r="K144" i="12" s="1"/>
  <c r="N140" i="12"/>
  <c r="N138" i="12" s="1"/>
  <c r="M140" i="12"/>
  <c r="M138" i="12" s="1"/>
  <c r="L140" i="12"/>
  <c r="L138" i="12" s="1"/>
  <c r="P139" i="12"/>
  <c r="O139" i="12"/>
  <c r="N137" i="12"/>
  <c r="N135" i="12" s="1"/>
  <c r="M137" i="12"/>
  <c r="M135" i="12" s="1"/>
  <c r="L137" i="12"/>
  <c r="L135" i="12" s="1"/>
  <c r="P136" i="12"/>
  <c r="O136" i="12"/>
  <c r="O133" i="12"/>
  <c r="N133" i="12"/>
  <c r="M133" i="12"/>
  <c r="P133" i="12" s="1"/>
  <c r="L133" i="12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N122" i="12" s="1"/>
  <c r="M124" i="12"/>
  <c r="M122" i="12" s="1"/>
  <c r="P122" i="12" s="1"/>
  <c r="L124" i="12"/>
  <c r="O124" i="12" s="1"/>
  <c r="P123" i="12"/>
  <c r="O123" i="12"/>
  <c r="P120" i="12"/>
  <c r="N120" i="12"/>
  <c r="M120" i="12"/>
  <c r="L120" i="12"/>
  <c r="O120" i="12" s="1"/>
  <c r="I116" i="12"/>
  <c r="K116" i="12" s="1"/>
  <c r="I115" i="12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J87" i="12" s="1"/>
  <c r="I99" i="12"/>
  <c r="I87" i="12" s="1"/>
  <c r="J98" i="12"/>
  <c r="I98" i="12"/>
  <c r="K98" i="12" s="1"/>
  <c r="N96" i="12"/>
  <c r="N94" i="12" s="1"/>
  <c r="M96" i="12"/>
  <c r="P96" i="12" s="1"/>
  <c r="L96" i="12"/>
  <c r="P95" i="12"/>
  <c r="O95" i="12"/>
  <c r="N93" i="12"/>
  <c r="N91" i="12" s="1"/>
  <c r="M93" i="12"/>
  <c r="M91" i="12" s="1"/>
  <c r="L93" i="12"/>
  <c r="L91" i="12" s="1"/>
  <c r="P92" i="12"/>
  <c r="O92" i="12"/>
  <c r="O89" i="12"/>
  <c r="N89" i="12"/>
  <c r="M89" i="12"/>
  <c r="P89" i="12" s="1"/>
  <c r="L89" i="12"/>
  <c r="J86" i="12"/>
  <c r="I84" i="12"/>
  <c r="K84" i="12" s="1"/>
  <c r="I83" i="12"/>
  <c r="K83" i="12" s="1"/>
  <c r="I82" i="12"/>
  <c r="K82" i="12" s="1"/>
  <c r="I81" i="12"/>
  <c r="K81" i="12" s="1"/>
  <c r="I80" i="12"/>
  <c r="I79" i="12"/>
  <c r="K79" i="12" s="1"/>
  <c r="I78" i="12"/>
  <c r="K78" i="12" s="1"/>
  <c r="J77" i="12"/>
  <c r="J65" i="12" s="1"/>
  <c r="J76" i="12"/>
  <c r="N74" i="12"/>
  <c r="N72" i="12" s="1"/>
  <c r="M74" i="12"/>
  <c r="M72" i="12" s="1"/>
  <c r="P72" i="12" s="1"/>
  <c r="L74" i="12"/>
  <c r="O74" i="12" s="1"/>
  <c r="P73" i="12"/>
  <c r="O73" i="12"/>
  <c r="N71" i="12"/>
  <c r="N69" i="12" s="1"/>
  <c r="M71" i="12"/>
  <c r="M69" i="12" s="1"/>
  <c r="P69" i="12" s="1"/>
  <c r="L71" i="12"/>
  <c r="O71" i="12" s="1"/>
  <c r="P70" i="12"/>
  <c r="O70" i="12"/>
  <c r="O67" i="12"/>
  <c r="N67" i="12"/>
  <c r="M67" i="12"/>
  <c r="P67" i="12" s="1"/>
  <c r="L67" i="12"/>
  <c r="J64" i="12"/>
  <c r="N61" i="12"/>
  <c r="N59" i="12" s="1"/>
  <c r="M61" i="12"/>
  <c r="L61" i="12"/>
  <c r="O61" i="12" s="1"/>
  <c r="P60" i="12"/>
  <c r="O60" i="12"/>
  <c r="N58" i="12"/>
  <c r="M58" i="12"/>
  <c r="M56" i="12" s="1"/>
  <c r="L58" i="12"/>
  <c r="P57" i="12"/>
  <c r="O57" i="12"/>
  <c r="N54" i="12"/>
  <c r="M54" i="12"/>
  <c r="P54" i="12" s="1"/>
  <c r="L54" i="12"/>
  <c r="O54" i="12" s="1"/>
  <c r="N49" i="12"/>
  <c r="N47" i="12" s="1"/>
  <c r="M49" i="12"/>
  <c r="P49" i="12" s="1"/>
  <c r="L49" i="12"/>
  <c r="L47" i="12" s="1"/>
  <c r="O47" i="12" s="1"/>
  <c r="P48" i="12"/>
  <c r="O48" i="12"/>
  <c r="N46" i="12"/>
  <c r="N44" i="12" s="1"/>
  <c r="M46" i="12"/>
  <c r="L46" i="12"/>
  <c r="L44" i="12" s="1"/>
  <c r="P45" i="12"/>
  <c r="O45" i="12"/>
  <c r="P42" i="12"/>
  <c r="O42" i="12"/>
  <c r="N42" i="12"/>
  <c r="M42" i="12"/>
  <c r="L42" i="12"/>
  <c r="N36" i="12"/>
  <c r="N30" i="12" s="1"/>
  <c r="M36" i="12"/>
  <c r="P36" i="12" s="1"/>
  <c r="N35" i="12"/>
  <c r="N34" i="12" s="1"/>
  <c r="M35" i="12"/>
  <c r="M29" i="12" s="1"/>
  <c r="L35" i="12"/>
  <c r="O35" i="12" s="1"/>
  <c r="P33" i="12"/>
  <c r="N33" i="12"/>
  <c r="N31" i="12" s="1"/>
  <c r="M33" i="12"/>
  <c r="P32" i="12"/>
  <c r="O32" i="12"/>
  <c r="N32" i="12"/>
  <c r="N29" i="12" s="1"/>
  <c r="N28" i="12" s="1"/>
  <c r="M32" i="12"/>
  <c r="M31" i="12" s="1"/>
  <c r="P31" i="12" s="1"/>
  <c r="L32" i="12"/>
  <c r="M30" i="12"/>
  <c r="P30" i="12" s="1"/>
  <c r="L29" i="12"/>
  <c r="O29" i="12" s="1"/>
  <c r="P25" i="12"/>
  <c r="O25" i="12"/>
  <c r="N25" i="12"/>
  <c r="N15" i="12" s="1"/>
  <c r="M25" i="12"/>
  <c r="L25" i="12"/>
  <c r="N22" i="12"/>
  <c r="M22" i="12"/>
  <c r="P22" i="12" s="1"/>
  <c r="L22" i="12"/>
  <c r="O22" i="12" s="1"/>
  <c r="N19" i="12"/>
  <c r="M15" i="12"/>
  <c r="P15" i="12" s="1"/>
  <c r="L15" i="12"/>
  <c r="O15" i="12" s="1"/>
  <c r="N12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P817" i="11"/>
  <c r="O817" i="11"/>
  <c r="P816" i="11"/>
  <c r="O816" i="11"/>
  <c r="O815" i="11"/>
  <c r="N815" i="11"/>
  <c r="M815" i="11"/>
  <c r="P815" i="11" s="1"/>
  <c r="L815" i="11"/>
  <c r="P810" i="11"/>
  <c r="O810" i="11"/>
  <c r="N810" i="11"/>
  <c r="P809" i="11"/>
  <c r="O809" i="11"/>
  <c r="M808" i="11"/>
  <c r="P808" i="11" s="1"/>
  <c r="L808" i="11"/>
  <c r="O808" i="11" s="1"/>
  <c r="M807" i="11"/>
  <c r="M805" i="11" s="1"/>
  <c r="P805" i="11" s="1"/>
  <c r="L807" i="11"/>
  <c r="N806" i="11"/>
  <c r="M806" i="11"/>
  <c r="P806" i="11" s="1"/>
  <c r="L806" i="11"/>
  <c r="O806" i="11" s="1"/>
  <c r="K804" i="11"/>
  <c r="J804" i="11"/>
  <c r="K802" i="11"/>
  <c r="J801" i="11"/>
  <c r="J800" i="11"/>
  <c r="J785" i="11" s="1"/>
  <c r="I800" i="11"/>
  <c r="K800" i="11" s="1"/>
  <c r="P798" i="11"/>
  <c r="O798" i="11"/>
  <c r="P797" i="11"/>
  <c r="O797" i="11"/>
  <c r="N796" i="11"/>
  <c r="M796" i="11"/>
  <c r="P796" i="11" s="1"/>
  <c r="L796" i="11"/>
  <c r="O796" i="11" s="1"/>
  <c r="P791" i="11"/>
  <c r="N791" i="11"/>
  <c r="N788" i="11" s="1"/>
  <c r="L791" i="11"/>
  <c r="P790" i="11"/>
  <c r="O790" i="11"/>
  <c r="M789" i="11"/>
  <c r="P789" i="11" s="1"/>
  <c r="M788" i="11"/>
  <c r="P788" i="11" s="1"/>
  <c r="N787" i="11"/>
  <c r="M787" i="11"/>
  <c r="P787" i="11" s="1"/>
  <c r="L787" i="11"/>
  <c r="O787" i="11" s="1"/>
  <c r="P782" i="11"/>
  <c r="O782" i="11"/>
  <c r="P781" i="11"/>
  <c r="O781" i="11"/>
  <c r="N780" i="11"/>
  <c r="M780" i="11"/>
  <c r="P780" i="11" s="1"/>
  <c r="L780" i="11"/>
  <c r="O780" i="11" s="1"/>
  <c r="P775" i="11"/>
  <c r="O775" i="11"/>
  <c r="N775" i="11"/>
  <c r="N772" i="11" s="1"/>
  <c r="P774" i="11"/>
  <c r="O774" i="11"/>
  <c r="M773" i="11"/>
  <c r="P773" i="11" s="1"/>
  <c r="L773" i="11"/>
  <c r="O773" i="11" s="1"/>
  <c r="M772" i="11"/>
  <c r="L772" i="11"/>
  <c r="O772" i="11" s="1"/>
  <c r="N771" i="11"/>
  <c r="M771" i="11"/>
  <c r="P771" i="11" s="1"/>
  <c r="L771" i="11"/>
  <c r="K769" i="11"/>
  <c r="J769" i="11"/>
  <c r="P766" i="11"/>
  <c r="O766" i="11"/>
  <c r="P765" i="11"/>
  <c r="O765" i="11"/>
  <c r="N764" i="11"/>
  <c r="M764" i="11"/>
  <c r="P764" i="11" s="1"/>
  <c r="L764" i="11"/>
  <c r="O764" i="11" s="1"/>
  <c r="P759" i="11"/>
  <c r="O759" i="11"/>
  <c r="N759" i="11"/>
  <c r="N756" i="11" s="1"/>
  <c r="N754" i="11" s="1"/>
  <c r="P758" i="11"/>
  <c r="O758" i="11"/>
  <c r="M757" i="11"/>
  <c r="P757" i="11" s="1"/>
  <c r="L757" i="11"/>
  <c r="O757" i="11" s="1"/>
  <c r="M756" i="11"/>
  <c r="L756" i="11"/>
  <c r="O756" i="11" s="1"/>
  <c r="N755" i="11"/>
  <c r="M755" i="11"/>
  <c r="P755" i="11" s="1"/>
  <c r="L755" i="11"/>
  <c r="K753" i="11"/>
  <c r="J753" i="11"/>
  <c r="P749" i="11"/>
  <c r="O749" i="11"/>
  <c r="P748" i="11"/>
  <c r="O748" i="11"/>
  <c r="N747" i="11"/>
  <c r="M747" i="11"/>
  <c r="P747" i="11" s="1"/>
  <c r="L747" i="11"/>
  <c r="O747" i="11" s="1"/>
  <c r="P742" i="11"/>
  <c r="O742" i="11"/>
  <c r="N742" i="11"/>
  <c r="N739" i="11" s="1"/>
  <c r="P741" i="11"/>
  <c r="O741" i="11"/>
  <c r="M740" i="11"/>
  <c r="P740" i="11" s="1"/>
  <c r="L740" i="11"/>
  <c r="O740" i="11" s="1"/>
  <c r="O739" i="11"/>
  <c r="M739" i="11"/>
  <c r="L739" i="11"/>
  <c r="N738" i="11"/>
  <c r="M738" i="11"/>
  <c r="P738" i="11" s="1"/>
  <c r="L738" i="1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N695" i="11"/>
  <c r="M695" i="11"/>
  <c r="P695" i="11" s="1"/>
  <c r="L695" i="11"/>
  <c r="O695" i="11" s="1"/>
  <c r="P690" i="11"/>
  <c r="N690" i="11"/>
  <c r="N688" i="11" s="1"/>
  <c r="L688" i="11"/>
  <c r="O688" i="11" s="1"/>
  <c r="M688" i="11"/>
  <c r="P688" i="11" s="1"/>
  <c r="P687" i="11"/>
  <c r="M687" i="11"/>
  <c r="N686" i="11"/>
  <c r="M686" i="11"/>
  <c r="P686" i="11" s="1"/>
  <c r="L686" i="11"/>
  <c r="O686" i="11" s="1"/>
  <c r="J679" i="11"/>
  <c r="J678" i="11"/>
  <c r="I678" i="11"/>
  <c r="K678" i="11" s="1"/>
  <c r="J675" i="11"/>
  <c r="J669" i="11" s="1"/>
  <c r="J654" i="11" s="1"/>
  <c r="I671" i="11"/>
  <c r="K671" i="11" s="1"/>
  <c r="I670" i="11"/>
  <c r="K670" i="11" s="1"/>
  <c r="I669" i="11"/>
  <c r="K672" i="11" s="1"/>
  <c r="P667" i="11"/>
  <c r="O667" i="11"/>
  <c r="P666" i="11"/>
  <c r="O666" i="11"/>
  <c r="N665" i="11"/>
  <c r="M665" i="11"/>
  <c r="P665" i="11" s="1"/>
  <c r="L665" i="11"/>
  <c r="O665" i="11" s="1"/>
  <c r="P660" i="11"/>
  <c r="N660" i="11"/>
  <c r="N657" i="11" s="1"/>
  <c r="O660" i="11"/>
  <c r="P659" i="11"/>
  <c r="O659" i="11"/>
  <c r="P658" i="11"/>
  <c r="M658" i="11"/>
  <c r="M657" i="11"/>
  <c r="P657" i="11" s="1"/>
  <c r="N656" i="11"/>
  <c r="M656" i="11"/>
  <c r="M655" i="11" s="1"/>
  <c r="P655" i="11" s="1"/>
  <c r="L656" i="1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N639" i="11"/>
  <c r="M639" i="11"/>
  <c r="P639" i="11" s="1"/>
  <c r="P634" i="11"/>
  <c r="N634" i="11"/>
  <c r="L634" i="11"/>
  <c r="O634" i="11" s="1"/>
  <c r="P633" i="11"/>
  <c r="O633" i="11"/>
  <c r="P632" i="11"/>
  <c r="N632" i="11"/>
  <c r="M632" i="11"/>
  <c r="N631" i="11"/>
  <c r="M631" i="11"/>
  <c r="P631" i="11" s="1"/>
  <c r="P630" i="11"/>
  <c r="N630" i="11"/>
  <c r="N629" i="11" s="1"/>
  <c r="M630" i="11"/>
  <c r="M629" i="11" s="1"/>
  <c r="P629" i="11" s="1"/>
  <c r="L630" i="11"/>
  <c r="O630" i="11" s="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4" i="11"/>
  <c r="I594" i="11"/>
  <c r="K594" i="11" s="1"/>
  <c r="J593" i="11"/>
  <c r="I593" i="11"/>
  <c r="I592" i="11" s="1"/>
  <c r="K592" i="11" s="1"/>
  <c r="J592" i="11"/>
  <c r="J583" i="11"/>
  <c r="J577" i="11" s="1"/>
  <c r="J582" i="11"/>
  <c r="J576" i="11" s="1"/>
  <c r="J559" i="11" s="1"/>
  <c r="J543" i="11" s="1"/>
  <c r="I577" i="11"/>
  <c r="I576" i="11"/>
  <c r="K576" i="11" s="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P557" i="11"/>
  <c r="L557" i="11"/>
  <c r="P556" i="11"/>
  <c r="O556" i="11"/>
  <c r="P555" i="11"/>
  <c r="N555" i="11"/>
  <c r="N545" i="11" s="1"/>
  <c r="N544" i="11" s="1"/>
  <c r="M555" i="11"/>
  <c r="P549" i="11"/>
  <c r="N549" i="11"/>
  <c r="L549" i="11"/>
  <c r="O549" i="11" s="1"/>
  <c r="P548" i="11"/>
  <c r="O548" i="11"/>
  <c r="N547" i="11"/>
  <c r="M547" i="11"/>
  <c r="P547" i="11" s="1"/>
  <c r="P546" i="11"/>
  <c r="N546" i="11"/>
  <c r="M546" i="11"/>
  <c r="O545" i="11"/>
  <c r="M545" i="11"/>
  <c r="M544" i="11" s="1"/>
  <c r="P544" i="11" s="1"/>
  <c r="L545" i="11"/>
  <c r="I542" i="11"/>
  <c r="K542" i="11" s="1"/>
  <c r="I541" i="11"/>
  <c r="K541" i="11" s="1"/>
  <c r="I540" i="11"/>
  <c r="K540" i="11" s="1"/>
  <c r="I539" i="11"/>
  <c r="K539" i="11" s="1"/>
  <c r="I538" i="11"/>
  <c r="I537" i="11"/>
  <c r="P535" i="11"/>
  <c r="L535" i="11"/>
  <c r="L533" i="11" s="1"/>
  <c r="O533" i="11" s="1"/>
  <c r="P534" i="11"/>
  <c r="O534" i="11"/>
  <c r="P533" i="11"/>
  <c r="N533" i="11"/>
  <c r="M533" i="11"/>
  <c r="P528" i="11"/>
  <c r="N528" i="11"/>
  <c r="L528" i="11"/>
  <c r="P527" i="11"/>
  <c r="O527" i="11"/>
  <c r="P526" i="11"/>
  <c r="N526" i="11"/>
  <c r="M526" i="11"/>
  <c r="P525" i="11"/>
  <c r="N525" i="11"/>
  <c r="M525" i="11"/>
  <c r="O524" i="11"/>
  <c r="N524" i="11"/>
  <c r="N523" i="11" s="1"/>
  <c r="M524" i="11"/>
  <c r="P524" i="11" s="1"/>
  <c r="L524" i="11"/>
  <c r="P523" i="11"/>
  <c r="M523" i="11"/>
  <c r="K517" i="11"/>
  <c r="J517" i="11"/>
  <c r="J501" i="11" s="1"/>
  <c r="K516" i="11"/>
  <c r="P514" i="11"/>
  <c r="O514" i="11"/>
  <c r="P513" i="11"/>
  <c r="O513" i="11"/>
  <c r="P512" i="11"/>
  <c r="O512" i="11"/>
  <c r="N512" i="11"/>
  <c r="M512" i="11"/>
  <c r="L512" i="11"/>
  <c r="P507" i="11"/>
  <c r="O507" i="11"/>
  <c r="N507" i="11"/>
  <c r="P506" i="11"/>
  <c r="O506" i="11"/>
  <c r="O505" i="11"/>
  <c r="N505" i="11"/>
  <c r="M505" i="11"/>
  <c r="P505" i="11" s="1"/>
  <c r="L505" i="11"/>
  <c r="P504" i="11"/>
  <c r="N504" i="11"/>
  <c r="M504" i="11"/>
  <c r="L504" i="11"/>
  <c r="O504" i="11" s="1"/>
  <c r="O503" i="11"/>
  <c r="N503" i="11"/>
  <c r="M503" i="11"/>
  <c r="M502" i="11" s="1"/>
  <c r="P502" i="11" s="1"/>
  <c r="L503" i="11"/>
  <c r="L502" i="11" s="1"/>
  <c r="O502" i="11" s="1"/>
  <c r="N502" i="1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O479" i="11" s="1"/>
  <c r="P478" i="11"/>
  <c r="O478" i="11"/>
  <c r="P477" i="11"/>
  <c r="N477" i="11"/>
  <c r="M477" i="11"/>
  <c r="P472" i="11"/>
  <c r="N472" i="11"/>
  <c r="L472" i="11"/>
  <c r="L470" i="11" s="1"/>
  <c r="P471" i="11"/>
  <c r="O471" i="11"/>
  <c r="N470" i="11"/>
  <c r="M470" i="11"/>
  <c r="P470" i="11" s="1"/>
  <c r="M469" i="11"/>
  <c r="P469" i="11" s="1"/>
  <c r="O468" i="11"/>
  <c r="N468" i="11"/>
  <c r="M468" i="11"/>
  <c r="L468" i="11"/>
  <c r="J466" i="11"/>
  <c r="I466" i="11"/>
  <c r="K466" i="11" s="1"/>
  <c r="J465" i="11"/>
  <c r="I465" i="11"/>
  <c r="K465" i="11" s="1"/>
  <c r="I464" i="11"/>
  <c r="I463" i="11"/>
  <c r="I462" i="11"/>
  <c r="I460" i="11"/>
  <c r="K460" i="11" s="1"/>
  <c r="K458" i="11"/>
  <c r="P456" i="11"/>
  <c r="L456" i="11"/>
  <c r="P455" i="11"/>
  <c r="O455" i="11"/>
  <c r="N454" i="11"/>
  <c r="M454" i="11"/>
  <c r="P454" i="11" s="1"/>
  <c r="P449" i="11"/>
  <c r="N449" i="11"/>
  <c r="L449" i="11"/>
  <c r="O449" i="11" s="1"/>
  <c r="P448" i="11"/>
  <c r="O448" i="11"/>
  <c r="P447" i="11"/>
  <c r="N447" i="11"/>
  <c r="M447" i="11"/>
  <c r="N446" i="11"/>
  <c r="M446" i="11"/>
  <c r="P446" i="11" s="1"/>
  <c r="P445" i="11"/>
  <c r="N445" i="11"/>
  <c r="N444" i="11" s="1"/>
  <c r="M445" i="11"/>
  <c r="M444" i="11" s="1"/>
  <c r="P444" i="11" s="1"/>
  <c r="L445" i="11"/>
  <c r="O445" i="11" s="1"/>
  <c r="J443" i="11"/>
  <c r="J442" i="11"/>
  <c r="I441" i="11"/>
  <c r="K441" i="11" s="1"/>
  <c r="I440" i="11"/>
  <c r="K440" i="11" s="1"/>
  <c r="I439" i="11"/>
  <c r="K439" i="11" s="1"/>
  <c r="I438" i="11"/>
  <c r="K438" i="11" s="1"/>
  <c r="I437" i="11"/>
  <c r="K437" i="11" s="1"/>
  <c r="I435" i="11"/>
  <c r="I433" i="11" s="1"/>
  <c r="J434" i="11"/>
  <c r="P431" i="11"/>
  <c r="L431" i="11"/>
  <c r="P430" i="11"/>
  <c r="O430" i="11"/>
  <c r="N429" i="11"/>
  <c r="M429" i="11"/>
  <c r="P429" i="11" s="1"/>
  <c r="P424" i="11"/>
  <c r="N424" i="11"/>
  <c r="L424" i="11"/>
  <c r="O424" i="11" s="1"/>
  <c r="P423" i="11"/>
  <c r="O423" i="11"/>
  <c r="P422" i="11"/>
  <c r="N422" i="11"/>
  <c r="M422" i="11"/>
  <c r="N421" i="11"/>
  <c r="M421" i="11"/>
  <c r="P421" i="11" s="1"/>
  <c r="N420" i="11"/>
  <c r="M420" i="11"/>
  <c r="P420" i="11" s="1"/>
  <c r="L420" i="11"/>
  <c r="O420" i="11" s="1"/>
  <c r="M419" i="11"/>
  <c r="J418" i="11"/>
  <c r="K413" i="11"/>
  <c r="K412" i="11"/>
  <c r="N410" i="11"/>
  <c r="N408" i="11" s="1"/>
  <c r="M410" i="11"/>
  <c r="P410" i="11" s="1"/>
  <c r="L410" i="11"/>
  <c r="L408" i="11" s="1"/>
  <c r="O408" i="11" s="1"/>
  <c r="P409" i="11"/>
  <c r="O409" i="11"/>
  <c r="N407" i="11"/>
  <c r="N405" i="11" s="1"/>
  <c r="M407" i="11"/>
  <c r="L407" i="11"/>
  <c r="L405" i="11" s="1"/>
  <c r="O405" i="11" s="1"/>
  <c r="P406" i="11"/>
  <c r="O406" i="11"/>
  <c r="P403" i="11"/>
  <c r="N403" i="11"/>
  <c r="M403" i="11"/>
  <c r="L403" i="11"/>
  <c r="K401" i="11"/>
  <c r="J401" i="11"/>
  <c r="I401" i="11"/>
  <c r="K400" i="11"/>
  <c r="K399" i="11"/>
  <c r="N397" i="11"/>
  <c r="N395" i="11" s="1"/>
  <c r="M397" i="11"/>
  <c r="P397" i="11" s="1"/>
  <c r="L397" i="11"/>
  <c r="O397" i="11" s="1"/>
  <c r="P396" i="11"/>
  <c r="O396" i="11"/>
  <c r="N394" i="11"/>
  <c r="M394" i="11"/>
  <c r="L394" i="11"/>
  <c r="L392" i="11" s="1"/>
  <c r="O392" i="11" s="1"/>
  <c r="P393" i="11"/>
  <c r="O393" i="11"/>
  <c r="P390" i="11"/>
  <c r="N390" i="11"/>
  <c r="M390" i="11"/>
  <c r="L390" i="11"/>
  <c r="O390" i="11" s="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L353" i="11"/>
  <c r="L351" i="11" s="1"/>
  <c r="P352" i="11"/>
  <c r="O352" i="11"/>
  <c r="N350" i="11"/>
  <c r="M350" i="11"/>
  <c r="L350" i="11"/>
  <c r="P349" i="11"/>
  <c r="O349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M334" i="11" s="1"/>
  <c r="P334" i="11" s="1"/>
  <c r="L336" i="11"/>
  <c r="P335" i="11"/>
  <c r="O335" i="11"/>
  <c r="N333" i="11"/>
  <c r="M333" i="11"/>
  <c r="M331" i="11" s="1"/>
  <c r="L333" i="11"/>
  <c r="L331" i="11" s="1"/>
  <c r="P332" i="11"/>
  <c r="O332" i="11"/>
  <c r="N329" i="11"/>
  <c r="M329" i="11"/>
  <c r="P329" i="11" s="1"/>
  <c r="L329" i="11"/>
  <c r="I327" i="11"/>
  <c r="I325" i="11"/>
  <c r="K325" i="11" s="1"/>
  <c r="N323" i="11"/>
  <c r="N321" i="11" s="1"/>
  <c r="M323" i="11"/>
  <c r="M321" i="11" s="1"/>
  <c r="P321" i="11" s="1"/>
  <c r="L323" i="11"/>
  <c r="O323" i="11" s="1"/>
  <c r="P322" i="11"/>
  <c r="O322" i="11"/>
  <c r="N320" i="11"/>
  <c r="M320" i="11"/>
  <c r="P320" i="11" s="1"/>
  <c r="L320" i="11"/>
  <c r="L318" i="11" s="1"/>
  <c r="O318" i="11" s="1"/>
  <c r="P319" i="11"/>
  <c r="O319" i="11"/>
  <c r="P316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I297" i="11" s="1"/>
  <c r="K297" i="11" s="1"/>
  <c r="N306" i="11"/>
  <c r="N304" i="11" s="1"/>
  <c r="M306" i="11"/>
  <c r="P306" i="11" s="1"/>
  <c r="L306" i="11"/>
  <c r="P305" i="11"/>
  <c r="O305" i="11"/>
  <c r="N303" i="11"/>
  <c r="M303" i="11"/>
  <c r="P303" i="11" s="1"/>
  <c r="L303" i="11"/>
  <c r="L301" i="11" s="1"/>
  <c r="O301" i="11" s="1"/>
  <c r="P302" i="11"/>
  <c r="O302" i="11"/>
  <c r="P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J288" i="11" s="1"/>
  <c r="J275" i="11" s="1"/>
  <c r="I287" i="11"/>
  <c r="K287" i="11" s="1"/>
  <c r="N285" i="11"/>
  <c r="N283" i="11" s="1"/>
  <c r="M285" i="11"/>
  <c r="P285" i="11" s="1"/>
  <c r="L285" i="11"/>
  <c r="L283" i="11" s="1"/>
  <c r="O283" i="11" s="1"/>
  <c r="P284" i="11"/>
  <c r="O284" i="11"/>
  <c r="N282" i="11"/>
  <c r="N280" i="11" s="1"/>
  <c r="M282" i="11"/>
  <c r="P282" i="11" s="1"/>
  <c r="L282" i="11"/>
  <c r="P281" i="11"/>
  <c r="O281" i="11"/>
  <c r="P278" i="11"/>
  <c r="O278" i="11"/>
  <c r="N278" i="11"/>
  <c r="M278" i="11"/>
  <c r="L278" i="11"/>
  <c r="J276" i="11"/>
  <c r="I271" i="11"/>
  <c r="N269" i="11"/>
  <c r="N267" i="11" s="1"/>
  <c r="M269" i="11"/>
  <c r="M267" i="11" s="1"/>
  <c r="P267" i="11" s="1"/>
  <c r="L269" i="11"/>
  <c r="L267" i="11" s="1"/>
  <c r="O267" i="11" s="1"/>
  <c r="P268" i="11"/>
  <c r="O268" i="11"/>
  <c r="N266" i="11"/>
  <c r="N264" i="11" s="1"/>
  <c r="M266" i="11"/>
  <c r="P266" i="11" s="1"/>
  <c r="L266" i="11"/>
  <c r="P265" i="11"/>
  <c r="O265" i="11"/>
  <c r="P262" i="11"/>
  <c r="O262" i="11"/>
  <c r="N262" i="11"/>
  <c r="M262" i="11"/>
  <c r="L262" i="1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I237" i="11" s="1"/>
  <c r="L242" i="11"/>
  <c r="L241" i="11"/>
  <c r="L240" i="11"/>
  <c r="L239" i="11"/>
  <c r="P238" i="11"/>
  <c r="N238" i="11"/>
  <c r="N227" i="11" s="1"/>
  <c r="J237" i="11"/>
  <c r="J226" i="11" s="1"/>
  <c r="J180" i="11" s="1"/>
  <c r="K236" i="11"/>
  <c r="J236" i="11"/>
  <c r="I236" i="11"/>
  <c r="J235" i="11"/>
  <c r="I235" i="11"/>
  <c r="K235" i="11" s="1"/>
  <c r="J233" i="11"/>
  <c r="N231" i="11"/>
  <c r="N230" i="11"/>
  <c r="N229" i="11"/>
  <c r="N228" i="11"/>
  <c r="I225" i="11"/>
  <c r="K225" i="11" s="1"/>
  <c r="I224" i="11"/>
  <c r="I216" i="11" s="1"/>
  <c r="K216" i="11" s="1"/>
  <c r="I223" i="11"/>
  <c r="K223" i="11" s="1"/>
  <c r="L220" i="11"/>
  <c r="L219" i="11"/>
  <c r="L218" i="11"/>
  <c r="P217" i="11"/>
  <c r="N217" i="11"/>
  <c r="J216" i="11"/>
  <c r="I215" i="11"/>
  <c r="I208" i="11" s="1"/>
  <c r="K208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I197" i="11" s="1"/>
  <c r="K197" i="11" s="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P189" i="11" s="1"/>
  <c r="L189" i="11"/>
  <c r="L187" i="11" s="1"/>
  <c r="O187" i="11" s="1"/>
  <c r="P188" i="11"/>
  <c r="O188" i="11"/>
  <c r="N186" i="11"/>
  <c r="M186" i="11"/>
  <c r="M184" i="11" s="1"/>
  <c r="L186" i="11"/>
  <c r="P185" i="11"/>
  <c r="O185" i="11"/>
  <c r="O182" i="11"/>
  <c r="N182" i="11"/>
  <c r="M182" i="11"/>
  <c r="P182" i="11" s="1"/>
  <c r="L182" i="11"/>
  <c r="K180" i="11"/>
  <c r="J177" i="11"/>
  <c r="I176" i="11"/>
  <c r="J174" i="11"/>
  <c r="J164" i="11" s="1"/>
  <c r="N173" i="11"/>
  <c r="N171" i="11" s="1"/>
  <c r="M173" i="11"/>
  <c r="P173" i="11" s="1"/>
  <c r="L173" i="11"/>
  <c r="O173" i="11" s="1"/>
  <c r="P172" i="11"/>
  <c r="O172" i="11"/>
  <c r="N170" i="11"/>
  <c r="M170" i="11"/>
  <c r="M168" i="11" s="1"/>
  <c r="L170" i="11"/>
  <c r="P169" i="11"/>
  <c r="O169" i="11"/>
  <c r="N166" i="11"/>
  <c r="M166" i="11"/>
  <c r="L166" i="11"/>
  <c r="O166" i="11" s="1"/>
  <c r="I159" i="11"/>
  <c r="K159" i="11" s="1"/>
  <c r="N157" i="11"/>
  <c r="N155" i="11" s="1"/>
  <c r="M157" i="11"/>
  <c r="M155" i="11" s="1"/>
  <c r="P155" i="11" s="1"/>
  <c r="L157" i="11"/>
  <c r="L155" i="11" s="1"/>
  <c r="O155" i="11" s="1"/>
  <c r="P156" i="11"/>
  <c r="O156" i="11"/>
  <c r="N154" i="11"/>
  <c r="N152" i="11" s="1"/>
  <c r="M154" i="11"/>
  <c r="L154" i="11"/>
  <c r="P153" i="11"/>
  <c r="O153" i="11"/>
  <c r="O150" i="11"/>
  <c r="N150" i="11"/>
  <c r="M150" i="11"/>
  <c r="P150" i="11" s="1"/>
  <c r="L150" i="11"/>
  <c r="J148" i="11"/>
  <c r="I146" i="11"/>
  <c r="K146" i="11" s="1"/>
  <c r="I145" i="11"/>
  <c r="K145" i="11" s="1"/>
  <c r="I144" i="11"/>
  <c r="N140" i="11"/>
  <c r="N138" i="11" s="1"/>
  <c r="M140" i="11"/>
  <c r="P140" i="11" s="1"/>
  <c r="L140" i="11"/>
  <c r="O140" i="11" s="1"/>
  <c r="P139" i="11"/>
  <c r="O139" i="11"/>
  <c r="N137" i="11"/>
  <c r="M137" i="11"/>
  <c r="P137" i="11" s="1"/>
  <c r="L137" i="11"/>
  <c r="O137" i="11" s="1"/>
  <c r="P136" i="11"/>
  <c r="O136" i="11"/>
  <c r="O133" i="11"/>
  <c r="N133" i="11"/>
  <c r="M133" i="11"/>
  <c r="L133" i="11"/>
  <c r="J130" i="11"/>
  <c r="N127" i="11"/>
  <c r="N125" i="11" s="1"/>
  <c r="M127" i="11"/>
  <c r="M125" i="11" s="1"/>
  <c r="P125" i="11" s="1"/>
  <c r="L127" i="11"/>
  <c r="O127" i="11" s="1"/>
  <c r="P126" i="11"/>
  <c r="O126" i="11"/>
  <c r="N124" i="11"/>
  <c r="N122" i="11" s="1"/>
  <c r="M124" i="11"/>
  <c r="L124" i="11"/>
  <c r="O124" i="11" s="1"/>
  <c r="P123" i="11"/>
  <c r="O123" i="11"/>
  <c r="O120" i="11"/>
  <c r="N120" i="11"/>
  <c r="M120" i="11"/>
  <c r="P120" i="11" s="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K99" i="11" s="1"/>
  <c r="J98" i="11"/>
  <c r="J86" i="11" s="1"/>
  <c r="I98" i="11"/>
  <c r="K98" i="11" s="1"/>
  <c r="N96" i="11"/>
  <c r="M96" i="11"/>
  <c r="L96" i="11"/>
  <c r="O96" i="11" s="1"/>
  <c r="P95" i="11"/>
  <c r="O95" i="11"/>
  <c r="N93" i="11"/>
  <c r="N91" i="11" s="1"/>
  <c r="M93" i="11"/>
  <c r="M91" i="11" s="1"/>
  <c r="L93" i="11"/>
  <c r="P92" i="11"/>
  <c r="O92" i="11"/>
  <c r="P89" i="11"/>
  <c r="N89" i="11"/>
  <c r="M89" i="11"/>
  <c r="L89" i="11"/>
  <c r="J87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I78" i="11"/>
  <c r="K78" i="11" s="1"/>
  <c r="J77" i="11"/>
  <c r="J76" i="11"/>
  <c r="J64" i="11" s="1"/>
  <c r="N74" i="11"/>
  <c r="M74" i="11"/>
  <c r="M72" i="11" s="1"/>
  <c r="P72" i="11" s="1"/>
  <c r="L74" i="11"/>
  <c r="O74" i="11" s="1"/>
  <c r="P73" i="11"/>
  <c r="O73" i="11"/>
  <c r="N71" i="11"/>
  <c r="N69" i="11" s="1"/>
  <c r="M71" i="11"/>
  <c r="M69" i="11" s="1"/>
  <c r="P69" i="11" s="1"/>
  <c r="L71" i="11"/>
  <c r="O71" i="11" s="1"/>
  <c r="P70" i="11"/>
  <c r="O70" i="11"/>
  <c r="P67" i="11"/>
  <c r="O67" i="11"/>
  <c r="N67" i="11"/>
  <c r="M67" i="11"/>
  <c r="L67" i="11"/>
  <c r="J65" i="11"/>
  <c r="N61" i="11"/>
  <c r="N59" i="11" s="1"/>
  <c r="M61" i="11"/>
  <c r="L61" i="11"/>
  <c r="O61" i="11" s="1"/>
  <c r="P60" i="11"/>
  <c r="O60" i="11"/>
  <c r="N58" i="11"/>
  <c r="M58" i="11"/>
  <c r="M56" i="11" s="1"/>
  <c r="L58" i="11"/>
  <c r="P57" i="11"/>
  <c r="O57" i="11"/>
  <c r="P54" i="11"/>
  <c r="N54" i="11"/>
  <c r="M54" i="11"/>
  <c r="L54" i="11"/>
  <c r="N49" i="11"/>
  <c r="N47" i="11" s="1"/>
  <c r="M49" i="11"/>
  <c r="P49" i="11" s="1"/>
  <c r="L49" i="11"/>
  <c r="P48" i="11"/>
  <c r="O48" i="11"/>
  <c r="N46" i="11"/>
  <c r="N44" i="11" s="1"/>
  <c r="M46" i="11"/>
  <c r="M44" i="11" s="1"/>
  <c r="L46" i="11"/>
  <c r="P45" i="11"/>
  <c r="O45" i="11"/>
  <c r="O42" i="11"/>
  <c r="N42" i="11"/>
  <c r="M42" i="11"/>
  <c r="L42" i="11"/>
  <c r="N36" i="11"/>
  <c r="M36" i="11"/>
  <c r="P36" i="11" s="1"/>
  <c r="N35" i="11"/>
  <c r="N34" i="11" s="1"/>
  <c r="M35" i="11"/>
  <c r="P35" i="11" s="1"/>
  <c r="L35" i="11"/>
  <c r="O35" i="11" s="1"/>
  <c r="M33" i="11"/>
  <c r="N32" i="11"/>
  <c r="M32" i="11"/>
  <c r="M31" i="11" s="1"/>
  <c r="P31" i="11" s="1"/>
  <c r="L32" i="11"/>
  <c r="L12" i="11" s="1"/>
  <c r="P25" i="11"/>
  <c r="N25" i="11"/>
  <c r="M25" i="11"/>
  <c r="L25" i="11"/>
  <c r="O22" i="11"/>
  <c r="N22" i="11"/>
  <c r="M22" i="11"/>
  <c r="L22" i="11"/>
  <c r="L19" i="1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P817" i="10"/>
  <c r="O817" i="10"/>
  <c r="P816" i="10"/>
  <c r="O816" i="10"/>
  <c r="O815" i="10"/>
  <c r="N815" i="10"/>
  <c r="M815" i="10"/>
  <c r="P815" i="10" s="1"/>
  <c r="L815" i="10"/>
  <c r="P810" i="10"/>
  <c r="O810" i="10"/>
  <c r="N810" i="10"/>
  <c r="P809" i="10"/>
  <c r="O809" i="10"/>
  <c r="O808" i="10"/>
  <c r="M808" i="10"/>
  <c r="P808" i="10" s="1"/>
  <c r="L808" i="10"/>
  <c r="P807" i="10"/>
  <c r="M807" i="10"/>
  <c r="L807" i="10"/>
  <c r="O806" i="10"/>
  <c r="N806" i="10"/>
  <c r="M806" i="10"/>
  <c r="P806" i="10" s="1"/>
  <c r="L806" i="10"/>
  <c r="P805" i="10"/>
  <c r="M805" i="10"/>
  <c r="K804" i="10"/>
  <c r="J804" i="10"/>
  <c r="K802" i="10"/>
  <c r="J801" i="10"/>
  <c r="J800" i="10"/>
  <c r="J785" i="10" s="1"/>
  <c r="I800" i="10"/>
  <c r="K800" i="10" s="1"/>
  <c r="P798" i="10"/>
  <c r="O798" i="10"/>
  <c r="P797" i="10"/>
  <c r="O797" i="10"/>
  <c r="P796" i="10"/>
  <c r="N796" i="10"/>
  <c r="M796" i="10"/>
  <c r="L796" i="10"/>
  <c r="O796" i="10" s="1"/>
  <c r="P791" i="10"/>
  <c r="N791" i="10"/>
  <c r="L791" i="10"/>
  <c r="L788" i="10" s="1"/>
  <c r="P790" i="10"/>
  <c r="O790" i="10"/>
  <c r="N789" i="10"/>
  <c r="M789" i="10"/>
  <c r="P789" i="10" s="1"/>
  <c r="P788" i="10"/>
  <c r="N788" i="10"/>
  <c r="M788" i="10"/>
  <c r="O787" i="10"/>
  <c r="N787" i="10"/>
  <c r="N786" i="10" s="1"/>
  <c r="M787" i="10"/>
  <c r="P787" i="10" s="1"/>
  <c r="L787" i="10"/>
  <c r="P786" i="10"/>
  <c r="M786" i="10"/>
  <c r="P782" i="10"/>
  <c r="O782" i="10"/>
  <c r="P781" i="10"/>
  <c r="O781" i="10"/>
  <c r="P780" i="10"/>
  <c r="N780" i="10"/>
  <c r="M780" i="10"/>
  <c r="L780" i="10"/>
  <c r="O780" i="10" s="1"/>
  <c r="P775" i="10"/>
  <c r="O775" i="10"/>
  <c r="N775" i="10"/>
  <c r="N772" i="10" s="1"/>
  <c r="N770" i="10" s="1"/>
  <c r="P774" i="10"/>
  <c r="O774" i="10"/>
  <c r="P773" i="10"/>
  <c r="N773" i="10"/>
  <c r="M773" i="10"/>
  <c r="L773" i="10"/>
  <c r="O773" i="10" s="1"/>
  <c r="O772" i="10"/>
  <c r="M772" i="10"/>
  <c r="L772" i="10"/>
  <c r="P771" i="10"/>
  <c r="N771" i="10"/>
  <c r="M771" i="10"/>
  <c r="L771" i="10"/>
  <c r="K769" i="10"/>
  <c r="J769" i="10"/>
  <c r="P766" i="10"/>
  <c r="O766" i="10"/>
  <c r="P765" i="10"/>
  <c r="O765" i="10"/>
  <c r="P764" i="10"/>
  <c r="N764" i="10"/>
  <c r="M764" i="10"/>
  <c r="L764" i="10"/>
  <c r="O764" i="10" s="1"/>
  <c r="P759" i="10"/>
  <c r="O759" i="10"/>
  <c r="N759" i="10"/>
  <c r="N756" i="10" s="1"/>
  <c r="N754" i="10" s="1"/>
  <c r="P758" i="10"/>
  <c r="O758" i="10"/>
  <c r="P757" i="10"/>
  <c r="N757" i="10"/>
  <c r="M757" i="10"/>
  <c r="L757" i="10"/>
  <c r="O757" i="10" s="1"/>
  <c r="O756" i="10"/>
  <c r="M756" i="10"/>
  <c r="L756" i="10"/>
  <c r="P755" i="10"/>
  <c r="N755" i="10"/>
  <c r="M755" i="10"/>
  <c r="L755" i="10"/>
  <c r="K753" i="10"/>
  <c r="J753" i="10"/>
  <c r="P749" i="10"/>
  <c r="O749" i="10"/>
  <c r="P748" i="10"/>
  <c r="O748" i="10"/>
  <c r="P747" i="10"/>
  <c r="N747" i="10"/>
  <c r="M747" i="10"/>
  <c r="L747" i="10"/>
  <c r="O747" i="10" s="1"/>
  <c r="P742" i="10"/>
  <c r="O742" i="10"/>
  <c r="N742" i="10"/>
  <c r="N739" i="10" s="1"/>
  <c r="N737" i="10" s="1"/>
  <c r="P741" i="10"/>
  <c r="O741" i="10"/>
  <c r="P740" i="10"/>
  <c r="N740" i="10"/>
  <c r="M740" i="10"/>
  <c r="L740" i="10"/>
  <c r="O740" i="10" s="1"/>
  <c r="O739" i="10"/>
  <c r="M739" i="10"/>
  <c r="L739" i="10"/>
  <c r="P738" i="10"/>
  <c r="N738" i="10"/>
  <c r="M738" i="10"/>
  <c r="L738" i="10"/>
  <c r="K736" i="10"/>
  <c r="J736" i="10"/>
  <c r="J729" i="10"/>
  <c r="I729" i="10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I707" i="10"/>
  <c r="I704" i="10"/>
  <c r="J701" i="10"/>
  <c r="I701" i="10"/>
  <c r="J700" i="10"/>
  <c r="I700" i="10"/>
  <c r="K700" i="10" s="1"/>
  <c r="J699" i="10"/>
  <c r="I699" i="10"/>
  <c r="K699" i="10" s="1"/>
  <c r="P697" i="10"/>
  <c r="O697" i="10"/>
  <c r="P696" i="10"/>
  <c r="O696" i="10"/>
  <c r="P695" i="10"/>
  <c r="N695" i="10"/>
  <c r="M695" i="10"/>
  <c r="L695" i="10"/>
  <c r="O695" i="10" s="1"/>
  <c r="P690" i="10"/>
  <c r="N690" i="10"/>
  <c r="N688" i="10" s="1"/>
  <c r="L690" i="10"/>
  <c r="L688" i="10" s="1"/>
  <c r="M688" i="10"/>
  <c r="P688" i="10" s="1"/>
  <c r="P687" i="10"/>
  <c r="N687" i="10"/>
  <c r="M687" i="10"/>
  <c r="O686" i="10"/>
  <c r="N686" i="10"/>
  <c r="N685" i="10" s="1"/>
  <c r="M686" i="10"/>
  <c r="P686" i="10" s="1"/>
  <c r="L686" i="10"/>
  <c r="P685" i="10"/>
  <c r="M685" i="10"/>
  <c r="J679" i="10"/>
  <c r="J678" i="10"/>
  <c r="I678" i="10"/>
  <c r="K678" i="10" s="1"/>
  <c r="J675" i="10"/>
  <c r="J669" i="10" s="1"/>
  <c r="J654" i="10" s="1"/>
  <c r="I671" i="10"/>
  <c r="K671" i="10" s="1"/>
  <c r="I670" i="10"/>
  <c r="K670" i="10" s="1"/>
  <c r="I669" i="10"/>
  <c r="K672" i="10" s="1"/>
  <c r="P667" i="10"/>
  <c r="O667" i="10"/>
  <c r="P666" i="10"/>
  <c r="O666" i="10"/>
  <c r="O665" i="10"/>
  <c r="N665" i="10"/>
  <c r="M665" i="10"/>
  <c r="P665" i="10" s="1"/>
  <c r="L665" i="10"/>
  <c r="P660" i="10"/>
  <c r="N660" i="10"/>
  <c r="N657" i="10" s="1"/>
  <c r="L660" i="10"/>
  <c r="O660" i="10" s="1"/>
  <c r="P659" i="10"/>
  <c r="O659" i="10"/>
  <c r="P658" i="10"/>
  <c r="N658" i="10"/>
  <c r="M658" i="10"/>
  <c r="M657" i="10"/>
  <c r="P657" i="10" s="1"/>
  <c r="P656" i="10"/>
  <c r="N656" i="10"/>
  <c r="M656" i="10"/>
  <c r="L656" i="10"/>
  <c r="M655" i="10"/>
  <c r="P655" i="10" s="1"/>
  <c r="K652" i="10"/>
  <c r="J652" i="10"/>
  <c r="J651" i="10"/>
  <c r="J628" i="10" s="1"/>
  <c r="I651" i="10"/>
  <c r="K651" i="10" s="1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P634" i="10"/>
  <c r="N634" i="10"/>
  <c r="L634" i="10"/>
  <c r="O634" i="10" s="1"/>
  <c r="P633" i="10"/>
  <c r="O633" i="10"/>
  <c r="P632" i="10"/>
  <c r="N632" i="10"/>
  <c r="M632" i="10"/>
  <c r="N631" i="10"/>
  <c r="M631" i="10"/>
  <c r="P631" i="10" s="1"/>
  <c r="P630" i="10"/>
  <c r="N630" i="10"/>
  <c r="N629" i="10" s="1"/>
  <c r="M630" i="10"/>
  <c r="M629" i="10" s="1"/>
  <c r="P629" i="10" s="1"/>
  <c r="L630" i="10"/>
  <c r="O630" i="10" s="1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4" i="10"/>
  <c r="I594" i="10"/>
  <c r="K594" i="10" s="1"/>
  <c r="J593" i="10"/>
  <c r="J592" i="10" s="1"/>
  <c r="I593" i="10"/>
  <c r="I592" i="10" s="1"/>
  <c r="K592" i="10" s="1"/>
  <c r="J583" i="10"/>
  <c r="J577" i="10" s="1"/>
  <c r="J582" i="10"/>
  <c r="J576" i="10" s="1"/>
  <c r="J559" i="10" s="1"/>
  <c r="J543" i="10" s="1"/>
  <c r="I577" i="10"/>
  <c r="K577" i="10" s="1"/>
  <c r="I576" i="10"/>
  <c r="K576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P557" i="10"/>
  <c r="L557" i="10"/>
  <c r="P556" i="10"/>
  <c r="O556" i="10"/>
  <c r="N555" i="10"/>
  <c r="N545" i="10" s="1"/>
  <c r="N544" i="10" s="1"/>
  <c r="M555" i="10"/>
  <c r="P555" i="10" s="1"/>
  <c r="P549" i="10"/>
  <c r="N549" i="10"/>
  <c r="L549" i="10"/>
  <c r="O549" i="10" s="1"/>
  <c r="P548" i="10"/>
  <c r="O548" i="10"/>
  <c r="N547" i="10"/>
  <c r="M547" i="10"/>
  <c r="P547" i="10" s="1"/>
  <c r="P546" i="10"/>
  <c r="N546" i="10"/>
  <c r="M546" i="10"/>
  <c r="O545" i="10"/>
  <c r="L545" i="10"/>
  <c r="I542" i="10"/>
  <c r="K542" i="10" s="1"/>
  <c r="I541" i="10"/>
  <c r="K541" i="10" s="1"/>
  <c r="I540" i="10"/>
  <c r="K540" i="10" s="1"/>
  <c r="I539" i="10"/>
  <c r="I538" i="10"/>
  <c r="K538" i="10" s="1"/>
  <c r="I537" i="10"/>
  <c r="I522" i="10" s="1"/>
  <c r="K522" i="10" s="1"/>
  <c r="P535" i="10"/>
  <c r="L535" i="10"/>
  <c r="P534" i="10"/>
  <c r="O534" i="10"/>
  <c r="P533" i="10"/>
  <c r="N533" i="10"/>
  <c r="M533" i="10"/>
  <c r="L533" i="10"/>
  <c r="O533" i="10" s="1"/>
  <c r="P528" i="10"/>
  <c r="N528" i="10"/>
  <c r="L528" i="10"/>
  <c r="P527" i="10"/>
  <c r="O527" i="10"/>
  <c r="P526" i="10"/>
  <c r="N526" i="10"/>
  <c r="M526" i="10"/>
  <c r="P525" i="10"/>
  <c r="N525" i="10"/>
  <c r="M525" i="10"/>
  <c r="O524" i="10"/>
  <c r="N524" i="10"/>
  <c r="N523" i="10" s="1"/>
  <c r="M524" i="10"/>
  <c r="P524" i="10" s="1"/>
  <c r="L524" i="10"/>
  <c r="P523" i="10"/>
  <c r="M523" i="10"/>
  <c r="K517" i="10"/>
  <c r="J517" i="10"/>
  <c r="J501" i="10" s="1"/>
  <c r="K516" i="10"/>
  <c r="P514" i="10"/>
  <c r="O514" i="10"/>
  <c r="P513" i="10"/>
  <c r="O513" i="10"/>
  <c r="P512" i="10"/>
  <c r="O512" i="10"/>
  <c r="N512" i="10"/>
  <c r="M512" i="10"/>
  <c r="L512" i="10"/>
  <c r="P507" i="10"/>
  <c r="O507" i="10"/>
  <c r="N507" i="10"/>
  <c r="P506" i="10"/>
  <c r="O506" i="10"/>
  <c r="O505" i="10"/>
  <c r="N505" i="10"/>
  <c r="M505" i="10"/>
  <c r="P505" i="10" s="1"/>
  <c r="L505" i="10"/>
  <c r="P504" i="10"/>
  <c r="N504" i="10"/>
  <c r="M504" i="10"/>
  <c r="L504" i="10"/>
  <c r="O504" i="10" s="1"/>
  <c r="O503" i="10"/>
  <c r="N503" i="10"/>
  <c r="M503" i="10"/>
  <c r="L503" i="10"/>
  <c r="N502" i="10"/>
  <c r="L502" i="10"/>
  <c r="O502" i="10" s="1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P477" i="10"/>
  <c r="N477" i="10"/>
  <c r="M477" i="10"/>
  <c r="P472" i="10"/>
  <c r="N472" i="10"/>
  <c r="N470" i="10" s="1"/>
  <c r="L472" i="10"/>
  <c r="L470" i="10" s="1"/>
  <c r="O470" i="10" s="1"/>
  <c r="P471" i="10"/>
  <c r="O471" i="10"/>
  <c r="M470" i="10"/>
  <c r="P470" i="10" s="1"/>
  <c r="N469" i="10"/>
  <c r="N467" i="10" s="1"/>
  <c r="M469" i="10"/>
  <c r="P469" i="10" s="1"/>
  <c r="N468" i="10"/>
  <c r="M468" i="10"/>
  <c r="L468" i="10"/>
  <c r="J466" i="10"/>
  <c r="I466" i="10"/>
  <c r="K466" i="10" s="1"/>
  <c r="J465" i="10"/>
  <c r="I465" i="10"/>
  <c r="K465" i="10" s="1"/>
  <c r="I464" i="10"/>
  <c r="I463" i="10"/>
  <c r="I462" i="10"/>
  <c r="I460" i="10"/>
  <c r="K460" i="10" s="1"/>
  <c r="K458" i="10"/>
  <c r="P456" i="10"/>
  <c r="L456" i="10"/>
  <c r="P455" i="10"/>
  <c r="O455" i="10"/>
  <c r="N454" i="10"/>
  <c r="M454" i="10"/>
  <c r="P454" i="10" s="1"/>
  <c r="P449" i="10"/>
  <c r="N449" i="10"/>
  <c r="N446" i="10" s="1"/>
  <c r="L449" i="10"/>
  <c r="L447" i="10" s="1"/>
  <c r="O447" i="10" s="1"/>
  <c r="P448" i="10"/>
  <c r="O448" i="10"/>
  <c r="P447" i="10"/>
  <c r="N447" i="10"/>
  <c r="M447" i="10"/>
  <c r="M446" i="10"/>
  <c r="P446" i="10" s="1"/>
  <c r="N445" i="10"/>
  <c r="M445" i="10"/>
  <c r="P445" i="10" s="1"/>
  <c r="L445" i="10"/>
  <c r="O445" i="10" s="1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J434" i="10"/>
  <c r="P431" i="10"/>
  <c r="L431" i="10"/>
  <c r="P430" i="10"/>
  <c r="O430" i="10"/>
  <c r="P429" i="10"/>
  <c r="N429" i="10"/>
  <c r="M429" i="10"/>
  <c r="P424" i="10"/>
  <c r="N424" i="10"/>
  <c r="N421" i="10" s="1"/>
  <c r="L424" i="10"/>
  <c r="L422" i="10" s="1"/>
  <c r="O422" i="10" s="1"/>
  <c r="P423" i="10"/>
  <c r="O423" i="10"/>
  <c r="P422" i="10"/>
  <c r="N422" i="10"/>
  <c r="M422" i="10"/>
  <c r="M421" i="10"/>
  <c r="P421" i="10" s="1"/>
  <c r="N420" i="10"/>
  <c r="M420" i="10"/>
  <c r="L420" i="10"/>
  <c r="O420" i="10" s="1"/>
  <c r="J418" i="10"/>
  <c r="K413" i="10"/>
  <c r="K412" i="10"/>
  <c r="N410" i="10"/>
  <c r="N408" i="10" s="1"/>
  <c r="M410" i="10"/>
  <c r="P410" i="10" s="1"/>
  <c r="L410" i="10"/>
  <c r="P409" i="10"/>
  <c r="O409" i="10"/>
  <c r="N407" i="10"/>
  <c r="M407" i="10"/>
  <c r="P407" i="10" s="1"/>
  <c r="L407" i="10"/>
  <c r="P406" i="10"/>
  <c r="O406" i="10"/>
  <c r="P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L397" i="10"/>
  <c r="O397" i="10" s="1"/>
  <c r="P396" i="10"/>
  <c r="O396" i="10"/>
  <c r="N394" i="10"/>
  <c r="N392" i="10" s="1"/>
  <c r="M394" i="10"/>
  <c r="L394" i="10"/>
  <c r="O394" i="10" s="1"/>
  <c r="P393" i="10"/>
  <c r="O393" i="10"/>
  <c r="P390" i="10"/>
  <c r="N390" i="10"/>
  <c r="M390" i="10"/>
  <c r="L390" i="10"/>
  <c r="J388" i="10"/>
  <c r="I388" i="10"/>
  <c r="K388" i="10" s="1"/>
  <c r="J385" i="10"/>
  <c r="I385" i="10"/>
  <c r="K385" i="10" s="1"/>
  <c r="K382" i="10"/>
  <c r="J382" i="10"/>
  <c r="J381" i="10"/>
  <c r="J374" i="10" s="1"/>
  <c r="I381" i="10"/>
  <c r="K381" i="10" s="1"/>
  <c r="K380" i="10"/>
  <c r="J380" i="10"/>
  <c r="J379" i="10"/>
  <c r="I379" i="10"/>
  <c r="K379" i="10" s="1"/>
  <c r="J378" i="10"/>
  <c r="I378" i="10"/>
  <c r="K378" i="10" s="1"/>
  <c r="K377" i="10"/>
  <c r="J377" i="10"/>
  <c r="I374" i="10"/>
  <c r="K374" i="10" s="1"/>
  <c r="K373" i="10"/>
  <c r="J373" i="10"/>
  <c r="J372" i="10"/>
  <c r="J365" i="10" s="1"/>
  <c r="I372" i="10"/>
  <c r="K372" i="10" s="1"/>
  <c r="K371" i="10"/>
  <c r="J371" i="10"/>
  <c r="J370" i="10"/>
  <c r="I370" i="10"/>
  <c r="K370" i="10" s="1"/>
  <c r="J369" i="10"/>
  <c r="I369" i="10"/>
  <c r="K369" i="10" s="1"/>
  <c r="K368" i="10"/>
  <c r="J368" i="10"/>
  <c r="I365" i="10"/>
  <c r="K365" i="10" s="1"/>
  <c r="K363" i="10"/>
  <c r="J363" i="10"/>
  <c r="J362" i="10"/>
  <c r="J355" i="10" s="1"/>
  <c r="I362" i="10"/>
  <c r="K362" i="10" s="1"/>
  <c r="K361" i="10"/>
  <c r="J361" i="10"/>
  <c r="J360" i="10"/>
  <c r="I360" i="10"/>
  <c r="K360" i="10" s="1"/>
  <c r="J359" i="10"/>
  <c r="I359" i="10"/>
  <c r="K359" i="10" s="1"/>
  <c r="K358" i="10"/>
  <c r="J358" i="10"/>
  <c r="I355" i="10"/>
  <c r="K355" i="10" s="1"/>
  <c r="N353" i="10"/>
  <c r="M353" i="10"/>
  <c r="L353" i="10"/>
  <c r="L351" i="10" s="1"/>
  <c r="P352" i="10"/>
  <c r="O352" i="10"/>
  <c r="N350" i="10"/>
  <c r="M350" i="10"/>
  <c r="L350" i="10"/>
  <c r="P349" i="10"/>
  <c r="O349" i="10"/>
  <c r="P346" i="10"/>
  <c r="N346" i="10"/>
  <c r="M346" i="10"/>
  <c r="L346" i="10"/>
  <c r="O346" i="10" s="1"/>
  <c r="J343" i="10"/>
  <c r="J342" i="10"/>
  <c r="J341" i="10"/>
  <c r="J340" i="10"/>
  <c r="I340" i="10"/>
  <c r="J338" i="10"/>
  <c r="I338" i="10"/>
  <c r="N336" i="10"/>
  <c r="N334" i="10" s="1"/>
  <c r="M336" i="10"/>
  <c r="M334" i="10" s="1"/>
  <c r="P334" i="10" s="1"/>
  <c r="L336" i="10"/>
  <c r="O336" i="10" s="1"/>
  <c r="P335" i="10"/>
  <c r="O335" i="10"/>
  <c r="N333" i="10"/>
  <c r="N331" i="10" s="1"/>
  <c r="M333" i="10"/>
  <c r="M331" i="10" s="1"/>
  <c r="L333" i="10"/>
  <c r="L331" i="10" s="1"/>
  <c r="P332" i="10"/>
  <c r="O332" i="10"/>
  <c r="O329" i="10"/>
  <c r="N329" i="10"/>
  <c r="M329" i="10"/>
  <c r="L329" i="10"/>
  <c r="I327" i="10"/>
  <c r="I325" i="10"/>
  <c r="I314" i="10" s="1"/>
  <c r="K314" i="10" s="1"/>
  <c r="N323" i="10"/>
  <c r="N321" i="10" s="1"/>
  <c r="M323" i="10"/>
  <c r="P323" i="10" s="1"/>
  <c r="L323" i="10"/>
  <c r="O323" i="10" s="1"/>
  <c r="P322" i="10"/>
  <c r="O322" i="10"/>
  <c r="N320" i="10"/>
  <c r="M320" i="10"/>
  <c r="M318" i="10" s="1"/>
  <c r="P318" i="10" s="1"/>
  <c r="L320" i="10"/>
  <c r="L318" i="10" s="1"/>
  <c r="O318" i="10" s="1"/>
  <c r="P319" i="10"/>
  <c r="O319" i="10"/>
  <c r="P316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P306" i="10" s="1"/>
  <c r="L306" i="10"/>
  <c r="O306" i="10" s="1"/>
  <c r="P305" i="10"/>
  <c r="O305" i="10"/>
  <c r="N303" i="10"/>
  <c r="M303" i="10"/>
  <c r="P303" i="10" s="1"/>
  <c r="L303" i="10"/>
  <c r="O303" i="10" s="1"/>
  <c r="P302" i="10"/>
  <c r="O302" i="10"/>
  <c r="N299" i="10"/>
  <c r="M299" i="10"/>
  <c r="L299" i="10"/>
  <c r="O299" i="10" s="1"/>
  <c r="J297" i="10"/>
  <c r="I294" i="10"/>
  <c r="K294" i="10" s="1"/>
  <c r="I293" i="10"/>
  <c r="K293" i="10" s="1"/>
  <c r="I291" i="10"/>
  <c r="K291" i="10" s="1"/>
  <c r="I290" i="10"/>
  <c r="K290" i="10" s="1"/>
  <c r="I288" i="10"/>
  <c r="K288" i="10" s="1"/>
  <c r="I287" i="10"/>
  <c r="I276" i="10" s="1"/>
  <c r="K276" i="10" s="1"/>
  <c r="N285" i="10"/>
  <c r="M285" i="10"/>
  <c r="P285" i="10" s="1"/>
  <c r="L285" i="10"/>
  <c r="P284" i="10"/>
  <c r="O284" i="10"/>
  <c r="N282" i="10"/>
  <c r="N280" i="10" s="1"/>
  <c r="M282" i="10"/>
  <c r="P282" i="10" s="1"/>
  <c r="L282" i="10"/>
  <c r="L280" i="10" s="1"/>
  <c r="O280" i="10" s="1"/>
  <c r="P281" i="10"/>
  <c r="O281" i="10"/>
  <c r="O278" i="10"/>
  <c r="N278" i="10"/>
  <c r="M278" i="10"/>
  <c r="L278" i="10"/>
  <c r="J276" i="10"/>
  <c r="I271" i="10"/>
  <c r="K271" i="10" s="1"/>
  <c r="N269" i="10"/>
  <c r="N267" i="10" s="1"/>
  <c r="M269" i="10"/>
  <c r="M267" i="10" s="1"/>
  <c r="P267" i="10" s="1"/>
  <c r="L269" i="10"/>
  <c r="O269" i="10" s="1"/>
  <c r="P268" i="10"/>
  <c r="O268" i="10"/>
  <c r="N266" i="10"/>
  <c r="N264" i="10" s="1"/>
  <c r="M266" i="10"/>
  <c r="M264" i="10" s="1"/>
  <c r="P264" i="10" s="1"/>
  <c r="L266" i="10"/>
  <c r="P265" i="10"/>
  <c r="O265" i="10"/>
  <c r="P262" i="10"/>
  <c r="N262" i="10"/>
  <c r="M262" i="10"/>
  <c r="L262" i="10"/>
  <c r="J260" i="10"/>
  <c r="K258" i="10"/>
  <c r="K257" i="10"/>
  <c r="I255" i="10"/>
  <c r="K255" i="10" s="1"/>
  <c r="L253" i="10"/>
  <c r="L252" i="10"/>
  <c r="L251" i="10"/>
  <c r="L250" i="10"/>
  <c r="P249" i="10"/>
  <c r="N249" i="10"/>
  <c r="J248" i="10"/>
  <c r="K247" i="10"/>
  <c r="K246" i="10"/>
  <c r="I244" i="10"/>
  <c r="I237" i="10" s="1"/>
  <c r="K237" i="10" s="1"/>
  <c r="L242" i="10"/>
  <c r="L241" i="10"/>
  <c r="L240" i="10"/>
  <c r="L239" i="10"/>
  <c r="P238" i="10"/>
  <c r="N238" i="10"/>
  <c r="N227" i="10" s="1"/>
  <c r="J237" i="10"/>
  <c r="J226" i="10" s="1"/>
  <c r="J180" i="10" s="1"/>
  <c r="J236" i="10"/>
  <c r="I236" i="10"/>
  <c r="K235" i="10"/>
  <c r="J235" i="10"/>
  <c r="I235" i="10"/>
  <c r="J233" i="10"/>
  <c r="N231" i="10"/>
  <c r="N230" i="10"/>
  <c r="N229" i="10"/>
  <c r="N228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L189" i="10"/>
  <c r="O189" i="10" s="1"/>
  <c r="P188" i="10"/>
  <c r="O188" i="10"/>
  <c r="N186" i="10"/>
  <c r="N184" i="10" s="1"/>
  <c r="M186" i="10"/>
  <c r="L186" i="10"/>
  <c r="P185" i="10"/>
  <c r="O185" i="10"/>
  <c r="P182" i="10"/>
  <c r="N182" i="10"/>
  <c r="M182" i="10"/>
  <c r="L182" i="10"/>
  <c r="K180" i="10"/>
  <c r="J177" i="10"/>
  <c r="I176" i="10"/>
  <c r="J174" i="10"/>
  <c r="J164" i="10" s="1"/>
  <c r="N173" i="10"/>
  <c r="N171" i="10" s="1"/>
  <c r="M173" i="10"/>
  <c r="P173" i="10" s="1"/>
  <c r="L173" i="10"/>
  <c r="P172" i="10"/>
  <c r="O172" i="10"/>
  <c r="N170" i="10"/>
  <c r="N168" i="10" s="1"/>
  <c r="M170" i="10"/>
  <c r="L170" i="10"/>
  <c r="P169" i="10"/>
  <c r="O169" i="10"/>
  <c r="O166" i="10"/>
  <c r="N166" i="10"/>
  <c r="M166" i="10"/>
  <c r="L166" i="10"/>
  <c r="I159" i="10"/>
  <c r="K159" i="10" s="1"/>
  <c r="N157" i="10"/>
  <c r="N155" i="10" s="1"/>
  <c r="M157" i="10"/>
  <c r="P157" i="10" s="1"/>
  <c r="L157" i="10"/>
  <c r="P156" i="10"/>
  <c r="O156" i="10"/>
  <c r="N154" i="10"/>
  <c r="N152" i="10" s="1"/>
  <c r="M154" i="10"/>
  <c r="P154" i="10" s="1"/>
  <c r="L154" i="10"/>
  <c r="P153" i="10"/>
  <c r="O153" i="10"/>
  <c r="P150" i="10"/>
  <c r="O150" i="10"/>
  <c r="N150" i="10"/>
  <c r="M150" i="10"/>
  <c r="L150" i="10"/>
  <c r="J148" i="10"/>
  <c r="I146" i="10"/>
  <c r="I130" i="10" s="1"/>
  <c r="K130" i="10" s="1"/>
  <c r="I145" i="10"/>
  <c r="K145" i="10" s="1"/>
  <c r="I144" i="10"/>
  <c r="N140" i="10"/>
  <c r="N138" i="10" s="1"/>
  <c r="M140" i="10"/>
  <c r="L140" i="10"/>
  <c r="O140" i="10" s="1"/>
  <c r="P139" i="10"/>
  <c r="O139" i="10"/>
  <c r="N137" i="10"/>
  <c r="N135" i="10" s="1"/>
  <c r="M137" i="10"/>
  <c r="L137" i="10"/>
  <c r="O137" i="10" s="1"/>
  <c r="P136" i="10"/>
  <c r="O136" i="10"/>
  <c r="N133" i="10"/>
  <c r="M133" i="10"/>
  <c r="P133" i="10" s="1"/>
  <c r="L133" i="10"/>
  <c r="O133" i="10" s="1"/>
  <c r="J130" i="10"/>
  <c r="N127" i="10"/>
  <c r="N125" i="10" s="1"/>
  <c r="M127" i="10"/>
  <c r="P127" i="10" s="1"/>
  <c r="L127" i="10"/>
  <c r="O127" i="10" s="1"/>
  <c r="P126" i="10"/>
  <c r="O126" i="10"/>
  <c r="N124" i="10"/>
  <c r="N122" i="10" s="1"/>
  <c r="M124" i="10"/>
  <c r="P124" i="10" s="1"/>
  <c r="L124" i="10"/>
  <c r="O124" i="10" s="1"/>
  <c r="P123" i="10"/>
  <c r="O123" i="10"/>
  <c r="P120" i="10"/>
  <c r="O120" i="10"/>
  <c r="N120" i="10"/>
  <c r="M120" i="10"/>
  <c r="L120" i="10"/>
  <c r="I116" i="10"/>
  <c r="K116" i="10" s="1"/>
  <c r="I115" i="10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J99" i="10"/>
  <c r="J87" i="10" s="1"/>
  <c r="I99" i="10"/>
  <c r="I87" i="10" s="1"/>
  <c r="J98" i="10"/>
  <c r="I98" i="10"/>
  <c r="K98" i="10" s="1"/>
  <c r="N96" i="10"/>
  <c r="N94" i="10" s="1"/>
  <c r="M96" i="10"/>
  <c r="M94" i="10" s="1"/>
  <c r="P94" i="10" s="1"/>
  <c r="L96" i="10"/>
  <c r="L94" i="10" s="1"/>
  <c r="O94" i="10" s="1"/>
  <c r="P95" i="10"/>
  <c r="O95" i="10"/>
  <c r="N93" i="10"/>
  <c r="N91" i="10" s="1"/>
  <c r="M93" i="10"/>
  <c r="M91" i="10" s="1"/>
  <c r="L93" i="10"/>
  <c r="L91" i="10" s="1"/>
  <c r="P92" i="10"/>
  <c r="O92" i="10"/>
  <c r="O89" i="10"/>
  <c r="N89" i="10"/>
  <c r="M89" i="10"/>
  <c r="P89" i="10" s="1"/>
  <c r="L89" i="10"/>
  <c r="J86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K78" i="10" s="1"/>
  <c r="J77" i="10"/>
  <c r="J65" i="10" s="1"/>
  <c r="J76" i="10"/>
  <c r="N74" i="10"/>
  <c r="N72" i="10" s="1"/>
  <c r="M74" i="10"/>
  <c r="M72" i="10" s="1"/>
  <c r="P72" i="10" s="1"/>
  <c r="L74" i="10"/>
  <c r="O74" i="10" s="1"/>
  <c r="P73" i="10"/>
  <c r="O73" i="10"/>
  <c r="N71" i="10"/>
  <c r="M71" i="10"/>
  <c r="M69" i="10" s="1"/>
  <c r="P69" i="10" s="1"/>
  <c r="L71" i="10"/>
  <c r="O71" i="10" s="1"/>
  <c r="P70" i="10"/>
  <c r="O70" i="10"/>
  <c r="P67" i="10"/>
  <c r="N67" i="10"/>
  <c r="M67" i="10"/>
  <c r="L67" i="10"/>
  <c r="O67" i="10" s="1"/>
  <c r="J64" i="10"/>
  <c r="N61" i="10"/>
  <c r="N59" i="10" s="1"/>
  <c r="M61" i="10"/>
  <c r="P61" i="10" s="1"/>
  <c r="L61" i="10"/>
  <c r="O61" i="10" s="1"/>
  <c r="P60" i="10"/>
  <c r="O60" i="10"/>
  <c r="N58" i="10"/>
  <c r="N56" i="10" s="1"/>
  <c r="M58" i="10"/>
  <c r="L58" i="10"/>
  <c r="P57" i="10"/>
  <c r="O57" i="10"/>
  <c r="P54" i="10"/>
  <c r="N54" i="10"/>
  <c r="M54" i="10"/>
  <c r="L54" i="10"/>
  <c r="O54" i="10" s="1"/>
  <c r="N49" i="10"/>
  <c r="M49" i="10"/>
  <c r="M47" i="10" s="1"/>
  <c r="P47" i="10" s="1"/>
  <c r="L49" i="10"/>
  <c r="O49" i="10" s="1"/>
  <c r="P48" i="10"/>
  <c r="O48" i="10"/>
  <c r="N46" i="10"/>
  <c r="N44" i="10" s="1"/>
  <c r="M46" i="10"/>
  <c r="M44" i="10" s="1"/>
  <c r="L46" i="10"/>
  <c r="P45" i="10"/>
  <c r="O45" i="10"/>
  <c r="P42" i="10"/>
  <c r="N42" i="10"/>
  <c r="M42" i="10"/>
  <c r="L42" i="10"/>
  <c r="O42" i="10" s="1"/>
  <c r="N36" i="10"/>
  <c r="M36" i="10"/>
  <c r="P36" i="10" s="1"/>
  <c r="P35" i="10"/>
  <c r="N35" i="10"/>
  <c r="N34" i="10" s="1"/>
  <c r="M35" i="10"/>
  <c r="L35" i="10"/>
  <c r="N33" i="10"/>
  <c r="N30" i="10" s="1"/>
  <c r="M33" i="10"/>
  <c r="P33" i="10" s="1"/>
  <c r="O32" i="10"/>
  <c r="N32" i="10"/>
  <c r="N31" i="10" s="1"/>
  <c r="M32" i="10"/>
  <c r="L32" i="10"/>
  <c r="N25" i="10"/>
  <c r="N15" i="10" s="1"/>
  <c r="M25" i="10"/>
  <c r="L25" i="10"/>
  <c r="L19" i="10" s="1"/>
  <c r="P22" i="10"/>
  <c r="O22" i="10"/>
  <c r="N22" i="10"/>
  <c r="M22" i="10"/>
  <c r="L22" i="10"/>
  <c r="N19" i="10"/>
  <c r="M19" i="10"/>
  <c r="P19" i="10" s="1"/>
  <c r="O12" i="10"/>
  <c r="L12" i="10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P809" i="9"/>
  <c r="O809" i="9"/>
  <c r="M808" i="9"/>
  <c r="P808" i="9" s="1"/>
  <c r="L808" i="9"/>
  <c r="O808" i="9" s="1"/>
  <c r="M807" i="9"/>
  <c r="P807" i="9" s="1"/>
  <c r="L807" i="9"/>
  <c r="O807" i="9" s="1"/>
  <c r="P806" i="9"/>
  <c r="N806" i="9"/>
  <c r="M806" i="9"/>
  <c r="L806" i="9"/>
  <c r="O806" i="9" s="1"/>
  <c r="K804" i="9"/>
  <c r="J804" i="9"/>
  <c r="K802" i="9"/>
  <c r="J801" i="9"/>
  <c r="J800" i="9"/>
  <c r="J785" i="9" s="1"/>
  <c r="I800" i="9"/>
  <c r="I785" i="9" s="1"/>
  <c r="K785" i="9" s="1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N786" i="9" s="1"/>
  <c r="L791" i="9"/>
  <c r="L788" i="9" s="1"/>
  <c r="O788" i="9" s="1"/>
  <c r="P790" i="9"/>
  <c r="O790" i="9"/>
  <c r="N789" i="9"/>
  <c r="M789" i="9"/>
  <c r="P789" i="9" s="1"/>
  <c r="M788" i="9"/>
  <c r="P788" i="9" s="1"/>
  <c r="P787" i="9"/>
  <c r="N787" i="9"/>
  <c r="M787" i="9"/>
  <c r="L787" i="9"/>
  <c r="O787" i="9" s="1"/>
  <c r="P782" i="9"/>
  <c r="O782" i="9"/>
  <c r="P781" i="9"/>
  <c r="O781" i="9"/>
  <c r="P780" i="9"/>
  <c r="O780" i="9"/>
  <c r="N780" i="9"/>
  <c r="M780" i="9"/>
  <c r="L780" i="9"/>
  <c r="P775" i="9"/>
  <c r="O775" i="9"/>
  <c r="N775" i="9"/>
  <c r="P774" i="9"/>
  <c r="O774" i="9"/>
  <c r="O773" i="9"/>
  <c r="N773" i="9"/>
  <c r="M773" i="9"/>
  <c r="P773" i="9" s="1"/>
  <c r="L773" i="9"/>
  <c r="N772" i="9"/>
  <c r="N770" i="9" s="1"/>
  <c r="M772" i="9"/>
  <c r="P772" i="9" s="1"/>
  <c r="L772" i="9"/>
  <c r="O772" i="9" s="1"/>
  <c r="N771" i="9"/>
  <c r="M771" i="9"/>
  <c r="P771" i="9" s="1"/>
  <c r="L771" i="9"/>
  <c r="K769" i="9"/>
  <c r="J769" i="9"/>
  <c r="P766" i="9"/>
  <c r="O766" i="9"/>
  <c r="P765" i="9"/>
  <c r="O765" i="9"/>
  <c r="P764" i="9"/>
  <c r="O764" i="9"/>
  <c r="N764" i="9"/>
  <c r="M764" i="9"/>
  <c r="L764" i="9"/>
  <c r="P759" i="9"/>
  <c r="O759" i="9"/>
  <c r="N759" i="9"/>
  <c r="P758" i="9"/>
  <c r="O758" i="9"/>
  <c r="O757" i="9"/>
  <c r="N757" i="9"/>
  <c r="M757" i="9"/>
  <c r="P757" i="9" s="1"/>
  <c r="L757" i="9"/>
  <c r="N756" i="9"/>
  <c r="N754" i="9" s="1"/>
  <c r="M756" i="9"/>
  <c r="P756" i="9" s="1"/>
  <c r="L756" i="9"/>
  <c r="O756" i="9" s="1"/>
  <c r="N755" i="9"/>
  <c r="M755" i="9"/>
  <c r="P755" i="9" s="1"/>
  <c r="L755" i="9"/>
  <c r="K753" i="9"/>
  <c r="J753" i="9"/>
  <c r="P749" i="9"/>
  <c r="O749" i="9"/>
  <c r="P748" i="9"/>
  <c r="O748" i="9"/>
  <c r="P747" i="9"/>
  <c r="O747" i="9"/>
  <c r="N747" i="9"/>
  <c r="M747" i="9"/>
  <c r="L747" i="9"/>
  <c r="P742" i="9"/>
  <c r="O742" i="9"/>
  <c r="N742" i="9"/>
  <c r="P741" i="9"/>
  <c r="O741" i="9"/>
  <c r="O740" i="9"/>
  <c r="N740" i="9"/>
  <c r="M740" i="9"/>
  <c r="P740" i="9" s="1"/>
  <c r="L740" i="9"/>
  <c r="N739" i="9"/>
  <c r="N737" i="9" s="1"/>
  <c r="M739" i="9"/>
  <c r="P739" i="9" s="1"/>
  <c r="L739" i="9"/>
  <c r="O739" i="9" s="1"/>
  <c r="N738" i="9"/>
  <c r="M738" i="9"/>
  <c r="P738" i="9" s="1"/>
  <c r="L738" i="9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P695" i="9"/>
  <c r="O695" i="9"/>
  <c r="N695" i="9"/>
  <c r="M695" i="9"/>
  <c r="L695" i="9"/>
  <c r="P690" i="9"/>
  <c r="N690" i="9"/>
  <c r="N687" i="9" s="1"/>
  <c r="N685" i="9" s="1"/>
  <c r="L690" i="9"/>
  <c r="L688" i="9" s="1"/>
  <c r="O688" i="9" s="1"/>
  <c r="N688" i="9"/>
  <c r="M688" i="9"/>
  <c r="P688" i="9" s="1"/>
  <c r="M687" i="9"/>
  <c r="P687" i="9" s="1"/>
  <c r="P686" i="9"/>
  <c r="N686" i="9"/>
  <c r="M686" i="9"/>
  <c r="L686" i="9"/>
  <c r="O686" i="9" s="1"/>
  <c r="J679" i="9"/>
  <c r="J678" i="9" s="1"/>
  <c r="I678" i="9"/>
  <c r="K678" i="9" s="1"/>
  <c r="J675" i="9"/>
  <c r="I671" i="9"/>
  <c r="K671" i="9" s="1"/>
  <c r="I670" i="9"/>
  <c r="K670" i="9" s="1"/>
  <c r="J669" i="9"/>
  <c r="J654" i="9" s="1"/>
  <c r="I669" i="9"/>
  <c r="K672" i="9" s="1"/>
  <c r="P667" i="9"/>
  <c r="O667" i="9"/>
  <c r="P666" i="9"/>
  <c r="O666" i="9"/>
  <c r="P665" i="9"/>
  <c r="N665" i="9"/>
  <c r="M665" i="9"/>
  <c r="L665" i="9"/>
  <c r="O665" i="9" s="1"/>
  <c r="P660" i="9"/>
  <c r="N660" i="9"/>
  <c r="N657" i="9" s="1"/>
  <c r="L660" i="9"/>
  <c r="L658" i="9" s="1"/>
  <c r="O658" i="9" s="1"/>
  <c r="P659" i="9"/>
  <c r="O659" i="9"/>
  <c r="P658" i="9"/>
  <c r="N658" i="9"/>
  <c r="M658" i="9"/>
  <c r="P657" i="9"/>
  <c r="M657" i="9"/>
  <c r="O656" i="9"/>
  <c r="N656" i="9"/>
  <c r="N655" i="9" s="1"/>
  <c r="M656" i="9"/>
  <c r="P656" i="9" s="1"/>
  <c r="L656" i="9"/>
  <c r="M655" i="9"/>
  <c r="P655" i="9" s="1"/>
  <c r="K652" i="9"/>
  <c r="J652" i="9"/>
  <c r="J651" i="9"/>
  <c r="J628" i="9" s="1"/>
  <c r="I651" i="9"/>
  <c r="K651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P640" i="9"/>
  <c r="O640" i="9"/>
  <c r="N639" i="9"/>
  <c r="M639" i="9"/>
  <c r="P639" i="9" s="1"/>
  <c r="P634" i="9"/>
  <c r="N634" i="9"/>
  <c r="L634" i="9"/>
  <c r="O634" i="9" s="1"/>
  <c r="P633" i="9"/>
  <c r="O633" i="9"/>
  <c r="N632" i="9"/>
  <c r="M632" i="9"/>
  <c r="P632" i="9" s="1"/>
  <c r="P631" i="9"/>
  <c r="N631" i="9"/>
  <c r="M631" i="9"/>
  <c r="P630" i="9"/>
  <c r="O630" i="9"/>
  <c r="N630" i="9"/>
  <c r="N629" i="9" s="1"/>
  <c r="M630" i="9"/>
  <c r="L630" i="9"/>
  <c r="P629" i="9"/>
  <c r="M629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3" i="9" s="1"/>
  <c r="J592" i="9" s="1"/>
  <c r="J596" i="9"/>
  <c r="J595" i="9"/>
  <c r="J594" i="9"/>
  <c r="I594" i="9"/>
  <c r="K594" i="9" s="1"/>
  <c r="I593" i="9"/>
  <c r="K593" i="9" s="1"/>
  <c r="J583" i="9"/>
  <c r="J582" i="9"/>
  <c r="J577" i="9"/>
  <c r="I577" i="9"/>
  <c r="K577" i="9" s="1"/>
  <c r="J576" i="9"/>
  <c r="I576" i="9"/>
  <c r="K576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J559" i="9"/>
  <c r="J543" i="9" s="1"/>
  <c r="P557" i="9"/>
  <c r="L557" i="9"/>
  <c r="O557" i="9" s="1"/>
  <c r="P556" i="9"/>
  <c r="O556" i="9"/>
  <c r="P555" i="9"/>
  <c r="N555" i="9"/>
  <c r="M555" i="9"/>
  <c r="L555" i="9"/>
  <c r="O555" i="9" s="1"/>
  <c r="P549" i="9"/>
  <c r="N549" i="9"/>
  <c r="L549" i="9"/>
  <c r="L547" i="9" s="1"/>
  <c r="O547" i="9" s="1"/>
  <c r="P548" i="9"/>
  <c r="O548" i="9"/>
  <c r="P547" i="9"/>
  <c r="N547" i="9"/>
  <c r="M547" i="9"/>
  <c r="N546" i="9"/>
  <c r="M546" i="9"/>
  <c r="P546" i="9" s="1"/>
  <c r="N545" i="9"/>
  <c r="M545" i="9"/>
  <c r="L545" i="9"/>
  <c r="O545" i="9" s="1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K537" i="9" s="1"/>
  <c r="P535" i="9"/>
  <c r="L535" i="9"/>
  <c r="P534" i="9"/>
  <c r="O534" i="9"/>
  <c r="N533" i="9"/>
  <c r="M533" i="9"/>
  <c r="P533" i="9" s="1"/>
  <c r="P528" i="9"/>
  <c r="N528" i="9"/>
  <c r="N525" i="9" s="1"/>
  <c r="N523" i="9" s="1"/>
  <c r="L528" i="9"/>
  <c r="P527" i="9"/>
  <c r="O527" i="9"/>
  <c r="N526" i="9"/>
  <c r="M526" i="9"/>
  <c r="P526" i="9" s="1"/>
  <c r="M525" i="9"/>
  <c r="P525" i="9" s="1"/>
  <c r="P524" i="9"/>
  <c r="N524" i="9"/>
  <c r="M524" i="9"/>
  <c r="L524" i="9"/>
  <c r="O524" i="9" s="1"/>
  <c r="K517" i="9"/>
  <c r="J517" i="9"/>
  <c r="K516" i="9"/>
  <c r="P514" i="9"/>
  <c r="O514" i="9"/>
  <c r="P513" i="9"/>
  <c r="O513" i="9"/>
  <c r="N512" i="9"/>
  <c r="M512" i="9"/>
  <c r="P512" i="9" s="1"/>
  <c r="L512" i="9"/>
  <c r="O512" i="9" s="1"/>
  <c r="P507" i="9"/>
  <c r="O507" i="9"/>
  <c r="N507" i="9"/>
  <c r="N505" i="9" s="1"/>
  <c r="P506" i="9"/>
  <c r="O506" i="9"/>
  <c r="P505" i="9"/>
  <c r="M505" i="9"/>
  <c r="L505" i="9"/>
  <c r="O505" i="9" s="1"/>
  <c r="P504" i="9"/>
  <c r="O504" i="9"/>
  <c r="N504" i="9"/>
  <c r="M504" i="9"/>
  <c r="L504" i="9"/>
  <c r="P503" i="9"/>
  <c r="O503" i="9"/>
  <c r="N503" i="9"/>
  <c r="M503" i="9"/>
  <c r="M502" i="9" s="1"/>
  <c r="P502" i="9" s="1"/>
  <c r="L503" i="9"/>
  <c r="O502" i="9"/>
  <c r="N502" i="9"/>
  <c r="L502" i="9"/>
  <c r="K501" i="9"/>
  <c r="J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P472" i="9"/>
  <c r="N472" i="9"/>
  <c r="L472" i="9"/>
  <c r="O472" i="9" s="1"/>
  <c r="P471" i="9"/>
  <c r="O471" i="9"/>
  <c r="N470" i="9"/>
  <c r="M470" i="9"/>
  <c r="P470" i="9" s="1"/>
  <c r="P469" i="9"/>
  <c r="N469" i="9"/>
  <c r="M469" i="9"/>
  <c r="P468" i="9"/>
  <c r="O468" i="9"/>
  <c r="N468" i="9"/>
  <c r="M468" i="9"/>
  <c r="M467" i="9" s="1"/>
  <c r="P467" i="9" s="1"/>
  <c r="L468" i="9"/>
  <c r="N467" i="9"/>
  <c r="J466" i="9"/>
  <c r="I466" i="9"/>
  <c r="K466" i="9" s="1"/>
  <c r="J465" i="9"/>
  <c r="I465" i="9"/>
  <c r="K465" i="9" s="1"/>
  <c r="I464" i="9"/>
  <c r="I463" i="9"/>
  <c r="I462" i="9"/>
  <c r="K462" i="9" s="1"/>
  <c r="I460" i="9"/>
  <c r="K460" i="9" s="1"/>
  <c r="K458" i="9"/>
  <c r="P456" i="9"/>
  <c r="L456" i="9"/>
  <c r="P455" i="9"/>
  <c r="O455" i="9"/>
  <c r="N454" i="9"/>
  <c r="M454" i="9"/>
  <c r="P454" i="9" s="1"/>
  <c r="P449" i="9"/>
  <c r="N449" i="9"/>
  <c r="L449" i="9"/>
  <c r="P448" i="9"/>
  <c r="O448" i="9"/>
  <c r="N447" i="9"/>
  <c r="M447" i="9"/>
  <c r="P447" i="9" s="1"/>
  <c r="N446" i="9"/>
  <c r="M446" i="9"/>
  <c r="P446" i="9" s="1"/>
  <c r="P445" i="9"/>
  <c r="N445" i="9"/>
  <c r="N444" i="9" s="1"/>
  <c r="M445" i="9"/>
  <c r="L445" i="9"/>
  <c r="O445" i="9" s="1"/>
  <c r="P444" i="9"/>
  <c r="M444" i="9"/>
  <c r="J443" i="9"/>
  <c r="J442" i="9"/>
  <c r="I441" i="9"/>
  <c r="K441" i="9" s="1"/>
  <c r="I440" i="9"/>
  <c r="I439" i="9"/>
  <c r="K439" i="9" s="1"/>
  <c r="I438" i="9"/>
  <c r="K438" i="9" s="1"/>
  <c r="I437" i="9"/>
  <c r="K437" i="9" s="1"/>
  <c r="I435" i="9"/>
  <c r="J434" i="9"/>
  <c r="P431" i="9"/>
  <c r="L431" i="9"/>
  <c r="P430" i="9"/>
  <c r="O430" i="9"/>
  <c r="N429" i="9"/>
  <c r="M429" i="9"/>
  <c r="P429" i="9" s="1"/>
  <c r="P424" i="9"/>
  <c r="N424" i="9"/>
  <c r="N421" i="9" s="1"/>
  <c r="L424" i="9"/>
  <c r="O424" i="9" s="1"/>
  <c r="P423" i="9"/>
  <c r="O423" i="9"/>
  <c r="N422" i="9"/>
  <c r="M422" i="9"/>
  <c r="P422" i="9" s="1"/>
  <c r="M421" i="9"/>
  <c r="P421" i="9" s="1"/>
  <c r="P420" i="9"/>
  <c r="N420" i="9"/>
  <c r="N419" i="9" s="1"/>
  <c r="M420" i="9"/>
  <c r="L420" i="9"/>
  <c r="O420" i="9" s="1"/>
  <c r="P419" i="9"/>
  <c r="M419" i="9"/>
  <c r="J418" i="9"/>
  <c r="K413" i="9"/>
  <c r="K412" i="9"/>
  <c r="N410" i="9"/>
  <c r="N408" i="9" s="1"/>
  <c r="M410" i="9"/>
  <c r="M408" i="9" s="1"/>
  <c r="P408" i="9" s="1"/>
  <c r="L410" i="9"/>
  <c r="P409" i="9"/>
  <c r="O409" i="9"/>
  <c r="N407" i="9"/>
  <c r="N405" i="9" s="1"/>
  <c r="M407" i="9"/>
  <c r="M405" i="9" s="1"/>
  <c r="P405" i="9" s="1"/>
  <c r="L407" i="9"/>
  <c r="L405" i="9" s="1"/>
  <c r="O405" i="9" s="1"/>
  <c r="P406" i="9"/>
  <c r="O406" i="9"/>
  <c r="O403" i="9"/>
  <c r="N403" i="9"/>
  <c r="M403" i="9"/>
  <c r="P403" i="9" s="1"/>
  <c r="L403" i="9"/>
  <c r="K401" i="9"/>
  <c r="J401" i="9"/>
  <c r="I401" i="9"/>
  <c r="K400" i="9"/>
  <c r="K399" i="9"/>
  <c r="N397" i="9"/>
  <c r="N395" i="9" s="1"/>
  <c r="M397" i="9"/>
  <c r="P397" i="9" s="1"/>
  <c r="L397" i="9"/>
  <c r="O397" i="9" s="1"/>
  <c r="P396" i="9"/>
  <c r="O396" i="9"/>
  <c r="N394" i="9"/>
  <c r="N392" i="9" s="1"/>
  <c r="M394" i="9"/>
  <c r="P394" i="9" s="1"/>
  <c r="L394" i="9"/>
  <c r="O394" i="9" s="1"/>
  <c r="P393" i="9"/>
  <c r="O393" i="9"/>
  <c r="P390" i="9"/>
  <c r="N390" i="9"/>
  <c r="M390" i="9"/>
  <c r="L390" i="9"/>
  <c r="O390" i="9" s="1"/>
  <c r="J388" i="9"/>
  <c r="I388" i="9"/>
  <c r="K388" i="9" s="1"/>
  <c r="J385" i="9"/>
  <c r="I385" i="9"/>
  <c r="K385" i="9" s="1"/>
  <c r="K382" i="9"/>
  <c r="J382" i="9"/>
  <c r="J381" i="9"/>
  <c r="J374" i="9" s="1"/>
  <c r="I381" i="9"/>
  <c r="K381" i="9" s="1"/>
  <c r="K380" i="9"/>
  <c r="J380" i="9"/>
  <c r="J379" i="9"/>
  <c r="I379" i="9"/>
  <c r="K379" i="9" s="1"/>
  <c r="J378" i="9"/>
  <c r="I378" i="9"/>
  <c r="K378" i="9" s="1"/>
  <c r="K377" i="9"/>
  <c r="J377" i="9"/>
  <c r="I374" i="9"/>
  <c r="K374" i="9" s="1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5" i="9" s="1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M353" i="9"/>
  <c r="M351" i="9" s="1"/>
  <c r="L353" i="9"/>
  <c r="L351" i="9" s="1"/>
  <c r="P352" i="9"/>
  <c r="O352" i="9"/>
  <c r="N350" i="9"/>
  <c r="N348" i="9" s="1"/>
  <c r="M350" i="9"/>
  <c r="L350" i="9"/>
  <c r="L348" i="9" s="1"/>
  <c r="P349" i="9"/>
  <c r="O349" i="9"/>
  <c r="P346" i="9"/>
  <c r="N346" i="9"/>
  <c r="M346" i="9"/>
  <c r="L346" i="9"/>
  <c r="O346" i="9" s="1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O336" i="9" s="1"/>
  <c r="P335" i="9"/>
  <c r="O335" i="9"/>
  <c r="N333" i="9"/>
  <c r="N331" i="9" s="1"/>
  <c r="M333" i="9"/>
  <c r="L333" i="9"/>
  <c r="P332" i="9"/>
  <c r="O332" i="9"/>
  <c r="P329" i="9"/>
  <c r="N329" i="9"/>
  <c r="M329" i="9"/>
  <c r="L329" i="9"/>
  <c r="O329" i="9" s="1"/>
  <c r="I327" i="9"/>
  <c r="I325" i="9"/>
  <c r="K325" i="9" s="1"/>
  <c r="N323" i="9"/>
  <c r="N321" i="9" s="1"/>
  <c r="M323" i="9"/>
  <c r="L323" i="9"/>
  <c r="P322" i="9"/>
  <c r="O322" i="9"/>
  <c r="N320" i="9"/>
  <c r="M320" i="9"/>
  <c r="L320" i="9"/>
  <c r="L318" i="9" s="1"/>
  <c r="O318" i="9" s="1"/>
  <c r="P319" i="9"/>
  <c r="O319" i="9"/>
  <c r="N316" i="9"/>
  <c r="M316" i="9"/>
  <c r="L316" i="9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L306" i="9"/>
  <c r="O306" i="9" s="1"/>
  <c r="P305" i="9"/>
  <c r="O305" i="9"/>
  <c r="N303" i="9"/>
  <c r="N301" i="9" s="1"/>
  <c r="M303" i="9"/>
  <c r="P303" i="9" s="1"/>
  <c r="L303" i="9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N285" i="9"/>
  <c r="M285" i="9"/>
  <c r="P285" i="9" s="1"/>
  <c r="L285" i="9"/>
  <c r="O285" i="9" s="1"/>
  <c r="P284" i="9"/>
  <c r="O284" i="9"/>
  <c r="N282" i="9"/>
  <c r="N280" i="9" s="1"/>
  <c r="M282" i="9"/>
  <c r="P282" i="9" s="1"/>
  <c r="L282" i="9"/>
  <c r="O282" i="9" s="1"/>
  <c r="P281" i="9"/>
  <c r="O281" i="9"/>
  <c r="P278" i="9"/>
  <c r="O278" i="9"/>
  <c r="N278" i="9"/>
  <c r="M278" i="9"/>
  <c r="L278" i="9"/>
  <c r="J276" i="9"/>
  <c r="I271" i="9"/>
  <c r="N269" i="9"/>
  <c r="M269" i="9"/>
  <c r="P269" i="9" s="1"/>
  <c r="L269" i="9"/>
  <c r="L267" i="9" s="1"/>
  <c r="O267" i="9" s="1"/>
  <c r="P268" i="9"/>
  <c r="O268" i="9"/>
  <c r="N266" i="9"/>
  <c r="N264" i="9" s="1"/>
  <c r="M266" i="9"/>
  <c r="L266" i="9"/>
  <c r="L264" i="9" s="1"/>
  <c r="P265" i="9"/>
  <c r="O265" i="9"/>
  <c r="O262" i="9"/>
  <c r="N262" i="9"/>
  <c r="M262" i="9"/>
  <c r="P262" i="9" s="1"/>
  <c r="L262" i="9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K247" i="9"/>
  <c r="K246" i="9"/>
  <c r="I244" i="9"/>
  <c r="L242" i="9"/>
  <c r="L241" i="9"/>
  <c r="L240" i="9"/>
  <c r="L239" i="9"/>
  <c r="P238" i="9"/>
  <c r="N238" i="9"/>
  <c r="J237" i="9"/>
  <c r="K236" i="9"/>
  <c r="J236" i="9"/>
  <c r="I236" i="9"/>
  <c r="K235" i="9"/>
  <c r="J235" i="9"/>
  <c r="I235" i="9"/>
  <c r="J233" i="9"/>
  <c r="N231" i="9"/>
  <c r="N230" i="9"/>
  <c r="N229" i="9"/>
  <c r="N228" i="9"/>
  <c r="N227" i="9"/>
  <c r="I225" i="9"/>
  <c r="K225" i="9" s="1"/>
  <c r="I224" i="9"/>
  <c r="I216" i="9" s="1"/>
  <c r="K216" i="9" s="1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I204" i="9"/>
  <c r="I197" i="9" s="1"/>
  <c r="K197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L187" i="9" s="1"/>
  <c r="O187" i="9" s="1"/>
  <c r="P188" i="9"/>
  <c r="O188" i="9"/>
  <c r="N186" i="9"/>
  <c r="N184" i="9" s="1"/>
  <c r="M186" i="9"/>
  <c r="L186" i="9"/>
  <c r="L184" i="9" s="1"/>
  <c r="P185" i="9"/>
  <c r="O185" i="9"/>
  <c r="P182" i="9"/>
  <c r="N182" i="9"/>
  <c r="M182" i="9"/>
  <c r="L182" i="9"/>
  <c r="O182" i="9" s="1"/>
  <c r="K180" i="9"/>
  <c r="J177" i="9"/>
  <c r="I176" i="9"/>
  <c r="K176" i="9" s="1"/>
  <c r="J174" i="9"/>
  <c r="N173" i="9"/>
  <c r="N171" i="9" s="1"/>
  <c r="M173" i="9"/>
  <c r="L173" i="9"/>
  <c r="O173" i="9" s="1"/>
  <c r="P172" i="9"/>
  <c r="O172" i="9"/>
  <c r="N170" i="9"/>
  <c r="N168" i="9" s="1"/>
  <c r="M170" i="9"/>
  <c r="M168" i="9" s="1"/>
  <c r="L170" i="9"/>
  <c r="L168" i="9" s="1"/>
  <c r="P169" i="9"/>
  <c r="O169" i="9"/>
  <c r="N166" i="9"/>
  <c r="M166" i="9"/>
  <c r="P166" i="9" s="1"/>
  <c r="L166" i="9"/>
  <c r="O166" i="9" s="1"/>
  <c r="J164" i="9"/>
  <c r="I159" i="9"/>
  <c r="K159" i="9" s="1"/>
  <c r="N157" i="9"/>
  <c r="N155" i="9" s="1"/>
  <c r="M157" i="9"/>
  <c r="P157" i="9" s="1"/>
  <c r="L157" i="9"/>
  <c r="L155" i="9" s="1"/>
  <c r="O155" i="9" s="1"/>
  <c r="P156" i="9"/>
  <c r="O156" i="9"/>
  <c r="N154" i="9"/>
  <c r="N152" i="9" s="1"/>
  <c r="M154" i="9"/>
  <c r="M152" i="9" s="1"/>
  <c r="P152" i="9" s="1"/>
  <c r="L154" i="9"/>
  <c r="L152" i="9" s="1"/>
  <c r="O152" i="9" s="1"/>
  <c r="P153" i="9"/>
  <c r="O153" i="9"/>
  <c r="N150" i="9"/>
  <c r="M150" i="9"/>
  <c r="P150" i="9" s="1"/>
  <c r="L150" i="9"/>
  <c r="O150" i="9" s="1"/>
  <c r="J148" i="9"/>
  <c r="I146" i="9"/>
  <c r="I130" i="9" s="1"/>
  <c r="K130" i="9" s="1"/>
  <c r="I145" i="9"/>
  <c r="K145" i="9" s="1"/>
  <c r="I144" i="9"/>
  <c r="N140" i="9"/>
  <c r="M140" i="9"/>
  <c r="P140" i="9" s="1"/>
  <c r="L140" i="9"/>
  <c r="O140" i="9" s="1"/>
  <c r="P139" i="9"/>
  <c r="O139" i="9"/>
  <c r="N137" i="9"/>
  <c r="N135" i="9" s="1"/>
  <c r="M137" i="9"/>
  <c r="P137" i="9" s="1"/>
  <c r="L137" i="9"/>
  <c r="O137" i="9" s="1"/>
  <c r="P136" i="9"/>
  <c r="O136" i="9"/>
  <c r="P133" i="9"/>
  <c r="N133" i="9"/>
  <c r="M133" i="9"/>
  <c r="L133" i="9"/>
  <c r="J130" i="9"/>
  <c r="N127" i="9"/>
  <c r="N125" i="9" s="1"/>
  <c r="M127" i="9"/>
  <c r="M125" i="9" s="1"/>
  <c r="P125" i="9" s="1"/>
  <c r="L127" i="9"/>
  <c r="L125" i="9" s="1"/>
  <c r="O125" i="9" s="1"/>
  <c r="P126" i="9"/>
  <c r="O126" i="9"/>
  <c r="N124" i="9"/>
  <c r="N122" i="9" s="1"/>
  <c r="M124" i="9"/>
  <c r="P124" i="9" s="1"/>
  <c r="L124" i="9"/>
  <c r="L122" i="9" s="1"/>
  <c r="O122" i="9" s="1"/>
  <c r="P123" i="9"/>
  <c r="O123" i="9"/>
  <c r="O120" i="9"/>
  <c r="N120" i="9"/>
  <c r="M120" i="9"/>
  <c r="P120" i="9" s="1"/>
  <c r="L120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I87" i="9" s="1"/>
  <c r="K87" i="9" s="1"/>
  <c r="J98" i="9"/>
  <c r="J86" i="9" s="1"/>
  <c r="I98" i="9"/>
  <c r="K98" i="9" s="1"/>
  <c r="N96" i="9"/>
  <c r="N94" i="9" s="1"/>
  <c r="M96" i="9"/>
  <c r="L96" i="9"/>
  <c r="O96" i="9" s="1"/>
  <c r="P95" i="9"/>
  <c r="O95" i="9"/>
  <c r="N93" i="9"/>
  <c r="N91" i="9" s="1"/>
  <c r="M93" i="9"/>
  <c r="M91" i="9" s="1"/>
  <c r="L93" i="9"/>
  <c r="P92" i="9"/>
  <c r="O92" i="9"/>
  <c r="O89" i="9"/>
  <c r="N89" i="9"/>
  <c r="M89" i="9"/>
  <c r="P89" i="9" s="1"/>
  <c r="L89" i="9"/>
  <c r="J87" i="9"/>
  <c r="I84" i="9"/>
  <c r="K84" i="9" s="1"/>
  <c r="I83" i="9"/>
  <c r="K83" i="9" s="1"/>
  <c r="I82" i="9"/>
  <c r="K82" i="9" s="1"/>
  <c r="I81" i="9"/>
  <c r="K81" i="9" s="1"/>
  <c r="I80" i="9"/>
  <c r="K80" i="9" s="1"/>
  <c r="I79" i="9"/>
  <c r="I78" i="9"/>
  <c r="K78" i="9" s="1"/>
  <c r="J77" i="9"/>
  <c r="J76" i="9"/>
  <c r="N74" i="9"/>
  <c r="N72" i="9" s="1"/>
  <c r="M74" i="9"/>
  <c r="P74" i="9" s="1"/>
  <c r="L74" i="9"/>
  <c r="O74" i="9" s="1"/>
  <c r="P73" i="9"/>
  <c r="O73" i="9"/>
  <c r="N71" i="9"/>
  <c r="N69" i="9" s="1"/>
  <c r="M71" i="9"/>
  <c r="P71" i="9" s="1"/>
  <c r="L71" i="9"/>
  <c r="O71" i="9" s="1"/>
  <c r="P70" i="9"/>
  <c r="O70" i="9"/>
  <c r="P67" i="9"/>
  <c r="N67" i="9"/>
  <c r="M67" i="9"/>
  <c r="L67" i="9"/>
  <c r="J65" i="9"/>
  <c r="J64" i="9"/>
  <c r="N61" i="9"/>
  <c r="N59" i="9" s="1"/>
  <c r="M61" i="9"/>
  <c r="M59" i="9" s="1"/>
  <c r="P59" i="9" s="1"/>
  <c r="L61" i="9"/>
  <c r="L59" i="9" s="1"/>
  <c r="O59" i="9" s="1"/>
  <c r="P60" i="9"/>
  <c r="O60" i="9"/>
  <c r="N58" i="9"/>
  <c r="N56" i="9" s="1"/>
  <c r="M58" i="9"/>
  <c r="M56" i="9" s="1"/>
  <c r="L58" i="9"/>
  <c r="L56" i="9" s="1"/>
  <c r="P57" i="9"/>
  <c r="O57" i="9"/>
  <c r="O54" i="9"/>
  <c r="N54" i="9"/>
  <c r="M54" i="9"/>
  <c r="P54" i="9" s="1"/>
  <c r="L54" i="9"/>
  <c r="N49" i="9"/>
  <c r="N47" i="9" s="1"/>
  <c r="M49" i="9"/>
  <c r="M47" i="9" s="1"/>
  <c r="P47" i="9" s="1"/>
  <c r="L49" i="9"/>
  <c r="L47" i="9" s="1"/>
  <c r="O47" i="9" s="1"/>
  <c r="P48" i="9"/>
  <c r="O48" i="9"/>
  <c r="N46" i="9"/>
  <c r="M46" i="9"/>
  <c r="L46" i="9"/>
  <c r="L44" i="9" s="1"/>
  <c r="P45" i="9"/>
  <c r="O45" i="9"/>
  <c r="P42" i="9"/>
  <c r="O42" i="9"/>
  <c r="N42" i="9"/>
  <c r="M42" i="9"/>
  <c r="L42" i="9"/>
  <c r="N36" i="9"/>
  <c r="M36" i="9"/>
  <c r="P36" i="9" s="1"/>
  <c r="P35" i="9"/>
  <c r="N35" i="9"/>
  <c r="N34" i="9" s="1"/>
  <c r="M35" i="9"/>
  <c r="L35" i="9"/>
  <c r="O35" i="9" s="1"/>
  <c r="M34" i="9"/>
  <c r="P34" i="9" s="1"/>
  <c r="P33" i="9"/>
  <c r="N33" i="9"/>
  <c r="M33" i="9"/>
  <c r="P32" i="9"/>
  <c r="O32" i="9"/>
  <c r="N32" i="9"/>
  <c r="N31" i="9" s="1"/>
  <c r="M32" i="9"/>
  <c r="L32" i="9"/>
  <c r="P31" i="9"/>
  <c r="M31" i="9"/>
  <c r="N30" i="9"/>
  <c r="M30" i="9"/>
  <c r="P30" i="9" s="1"/>
  <c r="M29" i="9"/>
  <c r="P29" i="9" s="1"/>
  <c r="L29" i="9"/>
  <c r="O29" i="9" s="1"/>
  <c r="O25" i="9"/>
  <c r="N25" i="9"/>
  <c r="N15" i="9" s="1"/>
  <c r="M25" i="9"/>
  <c r="M15" i="9" s="1"/>
  <c r="L25" i="9"/>
  <c r="P22" i="9"/>
  <c r="N22" i="9"/>
  <c r="N19" i="9" s="1"/>
  <c r="M22" i="9"/>
  <c r="M19" i="9" s="1"/>
  <c r="L22" i="9"/>
  <c r="L15" i="9"/>
  <c r="O15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P817" i="8"/>
  <c r="O817" i="8"/>
  <c r="P816" i="8"/>
  <c r="O816" i="8"/>
  <c r="N815" i="8"/>
  <c r="M815" i="8"/>
  <c r="P815" i="8" s="1"/>
  <c r="L815" i="8"/>
  <c r="O815" i="8" s="1"/>
  <c r="P810" i="8"/>
  <c r="O810" i="8"/>
  <c r="N810" i="8"/>
  <c r="N807" i="8" s="1"/>
  <c r="P809" i="8"/>
  <c r="O809" i="8"/>
  <c r="P808" i="8"/>
  <c r="M808" i="8"/>
  <c r="L808" i="8"/>
  <c r="O808" i="8" s="1"/>
  <c r="P807" i="8"/>
  <c r="O807" i="8"/>
  <c r="M807" i="8"/>
  <c r="L807" i="8"/>
  <c r="L805" i="8" s="1"/>
  <c r="P806" i="8"/>
  <c r="O806" i="8"/>
  <c r="N806" i="8"/>
  <c r="N805" i="8" s="1"/>
  <c r="M806" i="8"/>
  <c r="L806" i="8"/>
  <c r="O805" i="8"/>
  <c r="M805" i="8"/>
  <c r="P805" i="8" s="1"/>
  <c r="K804" i="8"/>
  <c r="J804" i="8"/>
  <c r="K802" i="8"/>
  <c r="J801" i="8"/>
  <c r="J800" i="8"/>
  <c r="J785" i="8" s="1"/>
  <c r="I800" i="8"/>
  <c r="K800" i="8" s="1"/>
  <c r="P798" i="8"/>
  <c r="O798" i="8"/>
  <c r="P797" i="8"/>
  <c r="O797" i="8"/>
  <c r="N796" i="8"/>
  <c r="M796" i="8"/>
  <c r="P796" i="8" s="1"/>
  <c r="L796" i="8"/>
  <c r="O796" i="8" s="1"/>
  <c r="P791" i="8"/>
  <c r="N791" i="8"/>
  <c r="L791" i="8"/>
  <c r="O791" i="8" s="1"/>
  <c r="P790" i="8"/>
  <c r="O790" i="8"/>
  <c r="P789" i="8"/>
  <c r="N789" i="8"/>
  <c r="M789" i="8"/>
  <c r="P788" i="8"/>
  <c r="N788" i="8"/>
  <c r="M788" i="8"/>
  <c r="P787" i="8"/>
  <c r="O787" i="8"/>
  <c r="N787" i="8"/>
  <c r="N786" i="8" s="1"/>
  <c r="M787" i="8"/>
  <c r="L787" i="8"/>
  <c r="M786" i="8"/>
  <c r="P786" i="8" s="1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P774" i="8"/>
  <c r="O774" i="8"/>
  <c r="M773" i="8"/>
  <c r="P773" i="8" s="1"/>
  <c r="L773" i="8"/>
  <c r="O773" i="8" s="1"/>
  <c r="P772" i="8"/>
  <c r="M772" i="8"/>
  <c r="M770" i="8" s="1"/>
  <c r="P770" i="8" s="1"/>
  <c r="L772" i="8"/>
  <c r="O772" i="8" s="1"/>
  <c r="P771" i="8"/>
  <c r="O771" i="8"/>
  <c r="N771" i="8"/>
  <c r="M771" i="8"/>
  <c r="L771" i="8"/>
  <c r="L770" i="8" s="1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P758" i="8"/>
  <c r="O758" i="8"/>
  <c r="M757" i="8"/>
  <c r="P757" i="8" s="1"/>
  <c r="L757" i="8"/>
  <c r="O757" i="8" s="1"/>
  <c r="P756" i="8"/>
  <c r="M756" i="8"/>
  <c r="M754" i="8" s="1"/>
  <c r="P754" i="8" s="1"/>
  <c r="L756" i="8"/>
  <c r="O756" i="8" s="1"/>
  <c r="P755" i="8"/>
  <c r="O755" i="8"/>
  <c r="N755" i="8"/>
  <c r="M755" i="8"/>
  <c r="L755" i="8"/>
  <c r="L754" i="8" s="1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P741" i="8"/>
  <c r="O741" i="8"/>
  <c r="M740" i="8"/>
  <c r="P740" i="8" s="1"/>
  <c r="L740" i="8"/>
  <c r="O740" i="8" s="1"/>
  <c r="P739" i="8"/>
  <c r="M739" i="8"/>
  <c r="M737" i="8" s="1"/>
  <c r="P737" i="8" s="1"/>
  <c r="L739" i="8"/>
  <c r="O739" i="8" s="1"/>
  <c r="P738" i="8"/>
  <c r="O738" i="8"/>
  <c r="N738" i="8"/>
  <c r="M738" i="8"/>
  <c r="L738" i="8"/>
  <c r="L737" i="8" s="1"/>
  <c r="O737" i="8" s="1"/>
  <c r="K736" i="8"/>
  <c r="J736" i="8"/>
  <c r="J729" i="8"/>
  <c r="I729" i="8"/>
  <c r="J728" i="8"/>
  <c r="I728" i="8"/>
  <c r="J727" i="8"/>
  <c r="J726" i="8"/>
  <c r="I726" i="8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P690" i="8"/>
  <c r="N690" i="8"/>
  <c r="L690" i="8"/>
  <c r="L688" i="8" s="1"/>
  <c r="P688" i="8"/>
  <c r="M688" i="8"/>
  <c r="P687" i="8"/>
  <c r="M687" i="8"/>
  <c r="P686" i="8"/>
  <c r="O686" i="8"/>
  <c r="N686" i="8"/>
  <c r="M686" i="8"/>
  <c r="L686" i="8"/>
  <c r="M685" i="8"/>
  <c r="P685" i="8" s="1"/>
  <c r="J679" i="8"/>
  <c r="J678" i="8"/>
  <c r="I678" i="8"/>
  <c r="K678" i="8" s="1"/>
  <c r="J675" i="8"/>
  <c r="I671" i="8"/>
  <c r="K671" i="8" s="1"/>
  <c r="I670" i="8"/>
  <c r="K670" i="8" s="1"/>
  <c r="J669" i="8"/>
  <c r="I669" i="8"/>
  <c r="K674" i="8" s="1"/>
  <c r="P667" i="8"/>
  <c r="O667" i="8"/>
  <c r="P666" i="8"/>
  <c r="O666" i="8"/>
  <c r="P665" i="8"/>
  <c r="O665" i="8"/>
  <c r="N665" i="8"/>
  <c r="M665" i="8"/>
  <c r="L665" i="8"/>
  <c r="P660" i="8"/>
  <c r="N660" i="8"/>
  <c r="L660" i="8"/>
  <c r="O660" i="8" s="1"/>
  <c r="P659" i="8"/>
  <c r="O659" i="8"/>
  <c r="N658" i="8"/>
  <c r="M658" i="8"/>
  <c r="P658" i="8" s="1"/>
  <c r="N657" i="8"/>
  <c r="M657" i="8"/>
  <c r="P657" i="8" s="1"/>
  <c r="N656" i="8"/>
  <c r="M656" i="8"/>
  <c r="L656" i="8"/>
  <c r="O656" i="8" s="1"/>
  <c r="K652" i="8"/>
  <c r="J652" i="8"/>
  <c r="J651" i="8"/>
  <c r="J628" i="8" s="1"/>
  <c r="I651" i="8"/>
  <c r="I628" i="8" s="1"/>
  <c r="K628" i="8" s="1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P634" i="8"/>
  <c r="N634" i="8"/>
  <c r="L634" i="8"/>
  <c r="O634" i="8" s="1"/>
  <c r="P633" i="8"/>
  <c r="O633" i="8"/>
  <c r="P632" i="8"/>
  <c r="N632" i="8"/>
  <c r="M632" i="8"/>
  <c r="P631" i="8"/>
  <c r="N631" i="8"/>
  <c r="M631" i="8"/>
  <c r="O630" i="8"/>
  <c r="N630" i="8"/>
  <c r="M630" i="8"/>
  <c r="L630" i="8"/>
  <c r="N629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I594" i="8"/>
  <c r="K594" i="8" s="1"/>
  <c r="J593" i="8"/>
  <c r="J592" i="8" s="1"/>
  <c r="I593" i="8"/>
  <c r="K593" i="8" s="1"/>
  <c r="J583" i="8"/>
  <c r="J577" i="8" s="1"/>
  <c r="J582" i="8"/>
  <c r="J576" i="8" s="1"/>
  <c r="J559" i="8" s="1"/>
  <c r="J543" i="8" s="1"/>
  <c r="I577" i="8"/>
  <c r="K577" i="8" s="1"/>
  <c r="I576" i="8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P556" i="8"/>
  <c r="O556" i="8"/>
  <c r="N555" i="8"/>
  <c r="N545" i="8" s="1"/>
  <c r="M555" i="8"/>
  <c r="P549" i="8"/>
  <c r="N549" i="8"/>
  <c r="L549" i="8"/>
  <c r="L547" i="8" s="1"/>
  <c r="P548" i="8"/>
  <c r="O548" i="8"/>
  <c r="M547" i="8"/>
  <c r="P547" i="8" s="1"/>
  <c r="M546" i="8"/>
  <c r="P546" i="8" s="1"/>
  <c r="L545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K537" i="8" s="1"/>
  <c r="P535" i="8"/>
  <c r="L535" i="8"/>
  <c r="P534" i="8"/>
  <c r="O534" i="8"/>
  <c r="N533" i="8"/>
  <c r="M533" i="8"/>
  <c r="P533" i="8" s="1"/>
  <c r="P528" i="8"/>
  <c r="N528" i="8"/>
  <c r="L528" i="8"/>
  <c r="O528" i="8" s="1"/>
  <c r="P527" i="8"/>
  <c r="O527" i="8"/>
  <c r="P526" i="8"/>
  <c r="N526" i="8"/>
  <c r="M526" i="8"/>
  <c r="L526" i="8"/>
  <c r="O526" i="8" s="1"/>
  <c r="P525" i="8"/>
  <c r="N525" i="8"/>
  <c r="M525" i="8"/>
  <c r="P524" i="8"/>
  <c r="O524" i="8"/>
  <c r="N524" i="8"/>
  <c r="N523" i="8" s="1"/>
  <c r="M524" i="8"/>
  <c r="L524" i="8"/>
  <c r="M523" i="8"/>
  <c r="P523" i="8" s="1"/>
  <c r="K517" i="8"/>
  <c r="J517" i="8"/>
  <c r="J501" i="8" s="1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N504" i="8" s="1"/>
  <c r="P506" i="8"/>
  <c r="O506" i="8"/>
  <c r="P505" i="8"/>
  <c r="O505" i="8"/>
  <c r="N505" i="8"/>
  <c r="M505" i="8"/>
  <c r="L505" i="8"/>
  <c r="O504" i="8"/>
  <c r="M504" i="8"/>
  <c r="L504" i="8"/>
  <c r="N503" i="8"/>
  <c r="M503" i="8"/>
  <c r="P503" i="8" s="1"/>
  <c r="L503" i="8"/>
  <c r="K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P472" i="8"/>
  <c r="N472" i="8"/>
  <c r="N469" i="8" s="1"/>
  <c r="L472" i="8"/>
  <c r="O472" i="8" s="1"/>
  <c r="P471" i="8"/>
  <c r="O471" i="8"/>
  <c r="P470" i="8"/>
  <c r="N470" i="8"/>
  <c r="M470" i="8"/>
  <c r="M469" i="8"/>
  <c r="P469" i="8" s="1"/>
  <c r="N468" i="8"/>
  <c r="N467" i="8" s="1"/>
  <c r="M468" i="8"/>
  <c r="P468" i="8" s="1"/>
  <c r="L468" i="8"/>
  <c r="M467" i="8"/>
  <c r="P467" i="8" s="1"/>
  <c r="J466" i="8"/>
  <c r="I466" i="8"/>
  <c r="K466" i="8" s="1"/>
  <c r="J465" i="8"/>
  <c r="I465" i="8"/>
  <c r="K465" i="8" s="1"/>
  <c r="I464" i="8"/>
  <c r="I463" i="8"/>
  <c r="I462" i="8"/>
  <c r="K462" i="8" s="1"/>
  <c r="I460" i="8"/>
  <c r="K460" i="8" s="1"/>
  <c r="K458" i="8"/>
  <c r="P456" i="8"/>
  <c r="L456" i="8"/>
  <c r="O456" i="8" s="1"/>
  <c r="P455" i="8"/>
  <c r="O455" i="8"/>
  <c r="P454" i="8"/>
  <c r="N454" i="8"/>
  <c r="M454" i="8"/>
  <c r="P449" i="8"/>
  <c r="N449" i="8"/>
  <c r="L449" i="8"/>
  <c r="O449" i="8" s="1"/>
  <c r="P448" i="8"/>
  <c r="O448" i="8"/>
  <c r="P447" i="8"/>
  <c r="N447" i="8"/>
  <c r="M447" i="8"/>
  <c r="P446" i="8"/>
  <c r="N446" i="8"/>
  <c r="M446" i="8"/>
  <c r="O445" i="8"/>
  <c r="N445" i="8"/>
  <c r="M445" i="8"/>
  <c r="L445" i="8"/>
  <c r="N444" i="8"/>
  <c r="J443" i="8"/>
  <c r="J442" i="8"/>
  <c r="I441" i="8"/>
  <c r="K441" i="8" s="1"/>
  <c r="I440" i="8"/>
  <c r="I439" i="8"/>
  <c r="K439" i="8" s="1"/>
  <c r="I438" i="8"/>
  <c r="K438" i="8" s="1"/>
  <c r="I437" i="8"/>
  <c r="K437" i="8" s="1"/>
  <c r="I435" i="8"/>
  <c r="J434" i="8"/>
  <c r="P431" i="8"/>
  <c r="L431" i="8"/>
  <c r="O431" i="8" s="1"/>
  <c r="P430" i="8"/>
  <c r="O430" i="8"/>
  <c r="P429" i="8"/>
  <c r="N429" i="8"/>
  <c r="M429" i="8"/>
  <c r="P424" i="8"/>
  <c r="N424" i="8"/>
  <c r="L424" i="8"/>
  <c r="O424" i="8" s="1"/>
  <c r="P423" i="8"/>
  <c r="O423" i="8"/>
  <c r="P422" i="8"/>
  <c r="N422" i="8"/>
  <c r="M422" i="8"/>
  <c r="P421" i="8"/>
  <c r="N421" i="8"/>
  <c r="M421" i="8"/>
  <c r="O420" i="8"/>
  <c r="N420" i="8"/>
  <c r="M420" i="8"/>
  <c r="L420" i="8"/>
  <c r="N419" i="8"/>
  <c r="J418" i="8"/>
  <c r="K413" i="8"/>
  <c r="K412" i="8"/>
  <c r="N410" i="8"/>
  <c r="N408" i="8" s="1"/>
  <c r="M410" i="8"/>
  <c r="P410" i="8" s="1"/>
  <c r="L410" i="8"/>
  <c r="P409" i="8"/>
  <c r="O409" i="8"/>
  <c r="N407" i="8"/>
  <c r="N405" i="8" s="1"/>
  <c r="M407" i="8"/>
  <c r="P407" i="8" s="1"/>
  <c r="L407" i="8"/>
  <c r="P406" i="8"/>
  <c r="O406" i="8"/>
  <c r="N403" i="8"/>
  <c r="M403" i="8"/>
  <c r="L403" i="8"/>
  <c r="O403" i="8" s="1"/>
  <c r="J401" i="8"/>
  <c r="I401" i="8"/>
  <c r="K401" i="8" s="1"/>
  <c r="K400" i="8"/>
  <c r="K399" i="8"/>
  <c r="N397" i="8"/>
  <c r="N395" i="8" s="1"/>
  <c r="M397" i="8"/>
  <c r="M395" i="8" s="1"/>
  <c r="P395" i="8" s="1"/>
  <c r="L397" i="8"/>
  <c r="O397" i="8" s="1"/>
  <c r="P396" i="8"/>
  <c r="O396" i="8"/>
  <c r="N394" i="8"/>
  <c r="N392" i="8" s="1"/>
  <c r="M394" i="8"/>
  <c r="M392" i="8" s="1"/>
  <c r="P392" i="8" s="1"/>
  <c r="L394" i="8"/>
  <c r="O394" i="8" s="1"/>
  <c r="P393" i="8"/>
  <c r="O393" i="8"/>
  <c r="O390" i="8"/>
  <c r="N390" i="8"/>
  <c r="M390" i="8"/>
  <c r="L390" i="8"/>
  <c r="J388" i="8"/>
  <c r="I388" i="8"/>
  <c r="K388" i="8" s="1"/>
  <c r="J385" i="8"/>
  <c r="I385" i="8"/>
  <c r="K382" i="8"/>
  <c r="J382" i="8"/>
  <c r="J381" i="8"/>
  <c r="I381" i="8"/>
  <c r="K380" i="8"/>
  <c r="J380" i="8"/>
  <c r="J379" i="8"/>
  <c r="I379" i="8"/>
  <c r="J378" i="8"/>
  <c r="I378" i="8"/>
  <c r="K378" i="8" s="1"/>
  <c r="K377" i="8"/>
  <c r="J377" i="8"/>
  <c r="I374" i="8"/>
  <c r="K373" i="8"/>
  <c r="J373" i="8"/>
  <c r="J372" i="8"/>
  <c r="J365" i="8" s="1"/>
  <c r="I372" i="8"/>
  <c r="K372" i="8" s="1"/>
  <c r="K371" i="8"/>
  <c r="J371" i="8"/>
  <c r="J370" i="8"/>
  <c r="I370" i="8"/>
  <c r="K370" i="8" s="1"/>
  <c r="J369" i="8"/>
  <c r="I369" i="8"/>
  <c r="K369" i="8" s="1"/>
  <c r="K368" i="8"/>
  <c r="J368" i="8"/>
  <c r="I365" i="8"/>
  <c r="K363" i="8"/>
  <c r="J363" i="8"/>
  <c r="J362" i="8"/>
  <c r="J355" i="8" s="1"/>
  <c r="I362" i="8"/>
  <c r="K362" i="8" s="1"/>
  <c r="K361" i="8"/>
  <c r="J361" i="8"/>
  <c r="J360" i="8"/>
  <c r="I360" i="8"/>
  <c r="K360" i="8" s="1"/>
  <c r="J359" i="8"/>
  <c r="I359" i="8"/>
  <c r="K359" i="8" s="1"/>
  <c r="K358" i="8"/>
  <c r="J358" i="8"/>
  <c r="I355" i="8"/>
  <c r="K355" i="8" s="1"/>
  <c r="N353" i="8"/>
  <c r="M353" i="8"/>
  <c r="M351" i="8" s="1"/>
  <c r="L353" i="8"/>
  <c r="L351" i="8" s="1"/>
  <c r="P352" i="8"/>
  <c r="O352" i="8"/>
  <c r="N350" i="8"/>
  <c r="M350" i="8"/>
  <c r="M348" i="8" s="1"/>
  <c r="L350" i="8"/>
  <c r="P349" i="8"/>
  <c r="O349" i="8"/>
  <c r="O346" i="8"/>
  <c r="N346" i="8"/>
  <c r="M346" i="8"/>
  <c r="L346" i="8"/>
  <c r="J343" i="8"/>
  <c r="J342" i="8"/>
  <c r="J341" i="8"/>
  <c r="J340" i="8"/>
  <c r="I340" i="8"/>
  <c r="J338" i="8"/>
  <c r="I338" i="8"/>
  <c r="N336" i="8"/>
  <c r="N334" i="8" s="1"/>
  <c r="M336" i="8"/>
  <c r="M334" i="8" s="1"/>
  <c r="P334" i="8" s="1"/>
  <c r="L336" i="8"/>
  <c r="O336" i="8" s="1"/>
  <c r="P335" i="8"/>
  <c r="O335" i="8"/>
  <c r="N333" i="8"/>
  <c r="M333" i="8"/>
  <c r="M331" i="8" s="1"/>
  <c r="L333" i="8"/>
  <c r="P332" i="8"/>
  <c r="O332" i="8"/>
  <c r="O329" i="8"/>
  <c r="N329" i="8"/>
  <c r="M329" i="8"/>
  <c r="L329" i="8"/>
  <c r="I327" i="8"/>
  <c r="I325" i="8"/>
  <c r="I314" i="8" s="1"/>
  <c r="K314" i="8" s="1"/>
  <c r="N323" i="8"/>
  <c r="N321" i="8" s="1"/>
  <c r="M323" i="8"/>
  <c r="P323" i="8" s="1"/>
  <c r="L323" i="8"/>
  <c r="P322" i="8"/>
  <c r="O322" i="8"/>
  <c r="N320" i="8"/>
  <c r="N318" i="8" s="1"/>
  <c r="M320" i="8"/>
  <c r="P320" i="8" s="1"/>
  <c r="L320" i="8"/>
  <c r="P319" i="8"/>
  <c r="O319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I297" i="8" s="1"/>
  <c r="N306" i="8"/>
  <c r="N304" i="8" s="1"/>
  <c r="M306" i="8"/>
  <c r="P306" i="8" s="1"/>
  <c r="L306" i="8"/>
  <c r="P305" i="8"/>
  <c r="O305" i="8"/>
  <c r="N303" i="8"/>
  <c r="M303" i="8"/>
  <c r="M301" i="8" s="1"/>
  <c r="L303" i="8"/>
  <c r="P302" i="8"/>
  <c r="O302" i="8"/>
  <c r="O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87" i="8"/>
  <c r="K287" i="8" s="1"/>
  <c r="N285" i="8"/>
  <c r="N283" i="8" s="1"/>
  <c r="M285" i="8"/>
  <c r="L285" i="8"/>
  <c r="O285" i="8" s="1"/>
  <c r="P284" i="8"/>
  <c r="O284" i="8"/>
  <c r="N282" i="8"/>
  <c r="N280" i="8" s="1"/>
  <c r="M282" i="8"/>
  <c r="L282" i="8"/>
  <c r="P281" i="8"/>
  <c r="O281" i="8"/>
  <c r="P278" i="8"/>
  <c r="N278" i="8"/>
  <c r="M278" i="8"/>
  <c r="L278" i="8"/>
  <c r="J276" i="8"/>
  <c r="I271" i="8"/>
  <c r="K271" i="8" s="1"/>
  <c r="N269" i="8"/>
  <c r="N267" i="8" s="1"/>
  <c r="M269" i="8"/>
  <c r="P269" i="8" s="1"/>
  <c r="L269" i="8"/>
  <c r="P268" i="8"/>
  <c r="O268" i="8"/>
  <c r="N266" i="8"/>
  <c r="N264" i="8" s="1"/>
  <c r="M266" i="8"/>
  <c r="P266" i="8" s="1"/>
  <c r="L266" i="8"/>
  <c r="P265" i="8"/>
  <c r="O265" i="8"/>
  <c r="N262" i="8"/>
  <c r="M262" i="8"/>
  <c r="L262" i="8"/>
  <c r="J260" i="8"/>
  <c r="K258" i="8"/>
  <c r="K257" i="8"/>
  <c r="I255" i="8"/>
  <c r="I248" i="8" s="1"/>
  <c r="K248" i="8" s="1"/>
  <c r="L253" i="8"/>
  <c r="L252" i="8"/>
  <c r="L251" i="8"/>
  <c r="L250" i="8"/>
  <c r="P249" i="8"/>
  <c r="N249" i="8"/>
  <c r="J248" i="8"/>
  <c r="K247" i="8"/>
  <c r="K246" i="8"/>
  <c r="I244" i="8"/>
  <c r="I237" i="8" s="1"/>
  <c r="L242" i="8"/>
  <c r="L241" i="8"/>
  <c r="L240" i="8"/>
  <c r="L239" i="8"/>
  <c r="P238" i="8"/>
  <c r="N238" i="8"/>
  <c r="J237" i="8"/>
  <c r="J236" i="8"/>
  <c r="I236" i="8"/>
  <c r="K236" i="8" s="1"/>
  <c r="J235" i="8"/>
  <c r="I235" i="8"/>
  <c r="K235" i="8" s="1"/>
  <c r="J233" i="8"/>
  <c r="N231" i="8"/>
  <c r="N230" i="8"/>
  <c r="N229" i="8"/>
  <c r="N228" i="8"/>
  <c r="N227" i="8"/>
  <c r="J226" i="8"/>
  <c r="I225" i="8"/>
  <c r="K225" i="8" s="1"/>
  <c r="I224" i="8"/>
  <c r="I216" i="8" s="1"/>
  <c r="K216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M186" i="8"/>
  <c r="M184" i="8" s="1"/>
  <c r="L186" i="8"/>
  <c r="L184" i="8" s="1"/>
  <c r="P185" i="8"/>
  <c r="O185" i="8"/>
  <c r="O182" i="8"/>
  <c r="N182" i="8"/>
  <c r="M182" i="8"/>
  <c r="L182" i="8"/>
  <c r="K180" i="8"/>
  <c r="J180" i="8"/>
  <c r="J177" i="8"/>
  <c r="J164" i="8" s="1"/>
  <c r="I176" i="8"/>
  <c r="K176" i="8" s="1"/>
  <c r="J174" i="8"/>
  <c r="N173" i="8"/>
  <c r="N171" i="8" s="1"/>
  <c r="M173" i="8"/>
  <c r="M171" i="8" s="1"/>
  <c r="P171" i="8" s="1"/>
  <c r="L173" i="8"/>
  <c r="O173" i="8" s="1"/>
  <c r="P172" i="8"/>
  <c r="O172" i="8"/>
  <c r="N170" i="8"/>
  <c r="M170" i="8"/>
  <c r="M168" i="8" s="1"/>
  <c r="P168" i="8" s="1"/>
  <c r="L170" i="8"/>
  <c r="P169" i="8"/>
  <c r="O169" i="8"/>
  <c r="P166" i="8"/>
  <c r="N166" i="8"/>
  <c r="M166" i="8"/>
  <c r="L166" i="8"/>
  <c r="I159" i="8"/>
  <c r="K159" i="8" s="1"/>
  <c r="N157" i="8"/>
  <c r="N155" i="8" s="1"/>
  <c r="M157" i="8"/>
  <c r="P157" i="8" s="1"/>
  <c r="L157" i="8"/>
  <c r="P156" i="8"/>
  <c r="O156" i="8"/>
  <c r="N154" i="8"/>
  <c r="N152" i="8" s="1"/>
  <c r="M154" i="8"/>
  <c r="L154" i="8"/>
  <c r="L152" i="8" s="1"/>
  <c r="O152" i="8" s="1"/>
  <c r="P153" i="8"/>
  <c r="O153" i="8"/>
  <c r="P150" i="8"/>
  <c r="O150" i="8"/>
  <c r="N150" i="8"/>
  <c r="M150" i="8"/>
  <c r="L150" i="8"/>
  <c r="J148" i="8"/>
  <c r="I146" i="8"/>
  <c r="I130" i="8" s="1"/>
  <c r="K130" i="8" s="1"/>
  <c r="I145" i="8"/>
  <c r="I144" i="8"/>
  <c r="K144" i="8" s="1"/>
  <c r="N140" i="8"/>
  <c r="N138" i="8" s="1"/>
  <c r="M140" i="8"/>
  <c r="P140" i="8" s="1"/>
  <c r="L140" i="8"/>
  <c r="L138" i="8" s="1"/>
  <c r="O138" i="8" s="1"/>
  <c r="P139" i="8"/>
  <c r="O139" i="8"/>
  <c r="N137" i="8"/>
  <c r="N135" i="8" s="1"/>
  <c r="M137" i="8"/>
  <c r="P137" i="8" s="1"/>
  <c r="L137" i="8"/>
  <c r="L135" i="8" s="1"/>
  <c r="O135" i="8" s="1"/>
  <c r="P136" i="8"/>
  <c r="O136" i="8"/>
  <c r="O133" i="8"/>
  <c r="N133" i="8"/>
  <c r="M133" i="8"/>
  <c r="P133" i="8" s="1"/>
  <c r="L133" i="8"/>
  <c r="J130" i="8"/>
  <c r="N127" i="8"/>
  <c r="M127" i="8"/>
  <c r="P127" i="8" s="1"/>
  <c r="L127" i="8"/>
  <c r="L125" i="8" s="1"/>
  <c r="O125" i="8" s="1"/>
  <c r="P126" i="8"/>
  <c r="O126" i="8"/>
  <c r="N124" i="8"/>
  <c r="N122" i="8" s="1"/>
  <c r="M124" i="8"/>
  <c r="P124" i="8" s="1"/>
  <c r="L124" i="8"/>
  <c r="L122" i="8" s="1"/>
  <c r="O122" i="8" s="1"/>
  <c r="P123" i="8"/>
  <c r="O123" i="8"/>
  <c r="P120" i="8"/>
  <c r="N120" i="8"/>
  <c r="M120" i="8"/>
  <c r="L120" i="8"/>
  <c r="O120" i="8" s="1"/>
  <c r="I116" i="8"/>
  <c r="I115" i="8"/>
  <c r="K115" i="8" s="1"/>
  <c r="I114" i="8"/>
  <c r="K114" i="8" s="1"/>
  <c r="I113" i="8"/>
  <c r="K113" i="8" s="1"/>
  <c r="J112" i="8"/>
  <c r="J111" i="8"/>
  <c r="I111" i="8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I98" i="8"/>
  <c r="N96" i="8"/>
  <c r="N94" i="8" s="1"/>
  <c r="M96" i="8"/>
  <c r="M94" i="8" s="1"/>
  <c r="P94" i="8" s="1"/>
  <c r="L96" i="8"/>
  <c r="O96" i="8" s="1"/>
  <c r="P95" i="8"/>
  <c r="O95" i="8"/>
  <c r="N93" i="8"/>
  <c r="M93" i="8"/>
  <c r="M91" i="8" s="1"/>
  <c r="L93" i="8"/>
  <c r="L91" i="8" s="1"/>
  <c r="P92" i="8"/>
  <c r="O92" i="8"/>
  <c r="P89" i="8"/>
  <c r="N89" i="8"/>
  <c r="M89" i="8"/>
  <c r="L89" i="8"/>
  <c r="O89" i="8" s="1"/>
  <c r="J87" i="8"/>
  <c r="J86" i="8"/>
  <c r="I84" i="8"/>
  <c r="K84" i="8" s="1"/>
  <c r="I83" i="8"/>
  <c r="K83" i="8" s="1"/>
  <c r="I82" i="8"/>
  <c r="K82" i="8" s="1"/>
  <c r="I81" i="8"/>
  <c r="K81" i="8" s="1"/>
  <c r="I80" i="8"/>
  <c r="K80" i="8" s="1"/>
  <c r="I79" i="8"/>
  <c r="I78" i="8"/>
  <c r="K78" i="8" s="1"/>
  <c r="J77" i="8"/>
  <c r="J76" i="8"/>
  <c r="N74" i="8"/>
  <c r="N72" i="8" s="1"/>
  <c r="M74" i="8"/>
  <c r="M72" i="8" s="1"/>
  <c r="P72" i="8" s="1"/>
  <c r="L74" i="8"/>
  <c r="L72" i="8" s="1"/>
  <c r="O72" i="8" s="1"/>
  <c r="P73" i="8"/>
  <c r="O73" i="8"/>
  <c r="N71" i="8"/>
  <c r="M71" i="8"/>
  <c r="P71" i="8" s="1"/>
  <c r="L71" i="8"/>
  <c r="L69" i="8" s="1"/>
  <c r="O69" i="8" s="1"/>
  <c r="P70" i="8"/>
  <c r="O70" i="8"/>
  <c r="N67" i="8"/>
  <c r="M67" i="8"/>
  <c r="P67" i="8" s="1"/>
  <c r="L67" i="8"/>
  <c r="J65" i="8"/>
  <c r="J64" i="8"/>
  <c r="N61" i="8"/>
  <c r="N59" i="8" s="1"/>
  <c r="M61" i="8"/>
  <c r="M59" i="8" s="1"/>
  <c r="P59" i="8" s="1"/>
  <c r="L61" i="8"/>
  <c r="L59" i="8" s="1"/>
  <c r="O59" i="8" s="1"/>
  <c r="P60" i="8"/>
  <c r="O60" i="8"/>
  <c r="N58" i="8"/>
  <c r="M58" i="8"/>
  <c r="L58" i="8"/>
  <c r="L56" i="8" s="1"/>
  <c r="P57" i="8"/>
  <c r="O57" i="8"/>
  <c r="N54" i="8"/>
  <c r="M54" i="8"/>
  <c r="P54" i="8" s="1"/>
  <c r="L54" i="8"/>
  <c r="N49" i="8"/>
  <c r="N47" i="8" s="1"/>
  <c r="M49" i="8"/>
  <c r="P49" i="8" s="1"/>
  <c r="L49" i="8"/>
  <c r="P48" i="8"/>
  <c r="O48" i="8"/>
  <c r="N46" i="8"/>
  <c r="M46" i="8"/>
  <c r="L46" i="8"/>
  <c r="L44" i="8" s="1"/>
  <c r="P45" i="8"/>
  <c r="O45" i="8"/>
  <c r="N42" i="8"/>
  <c r="M42" i="8"/>
  <c r="P42" i="8" s="1"/>
  <c r="L42" i="8"/>
  <c r="N36" i="8"/>
  <c r="M36" i="8"/>
  <c r="P36" i="8" s="1"/>
  <c r="P35" i="8"/>
  <c r="N35" i="8"/>
  <c r="M35" i="8"/>
  <c r="L35" i="8"/>
  <c r="O35" i="8" s="1"/>
  <c r="M34" i="8"/>
  <c r="P34" i="8" s="1"/>
  <c r="P33" i="8"/>
  <c r="N33" i="8"/>
  <c r="N30" i="8" s="1"/>
  <c r="M33" i="8"/>
  <c r="O32" i="8"/>
  <c r="N32" i="8"/>
  <c r="N31" i="8" s="1"/>
  <c r="M32" i="8"/>
  <c r="P32" i="8" s="1"/>
  <c r="L32" i="8"/>
  <c r="M30" i="8"/>
  <c r="P30" i="8" s="1"/>
  <c r="N29" i="8"/>
  <c r="M29" i="8"/>
  <c r="P29" i="8" s="1"/>
  <c r="L29" i="8"/>
  <c r="O29" i="8" s="1"/>
  <c r="O25" i="8"/>
  <c r="N25" i="8"/>
  <c r="N15" i="8" s="1"/>
  <c r="M25" i="8"/>
  <c r="P25" i="8" s="1"/>
  <c r="L25" i="8"/>
  <c r="N22" i="8"/>
  <c r="N12" i="8" s="1"/>
  <c r="M22" i="8"/>
  <c r="P22" i="8" s="1"/>
  <c r="L22" i="8"/>
  <c r="O22" i="8" s="1"/>
  <c r="M15" i="8"/>
  <c r="L15" i="8"/>
  <c r="O15" i="8" s="1"/>
  <c r="O12" i="8"/>
  <c r="M12" i="8"/>
  <c r="L12" i="8"/>
  <c r="L9" i="8"/>
  <c r="O9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P817" i="7"/>
  <c r="O817" i="7"/>
  <c r="P816" i="7"/>
  <c r="O816" i="7"/>
  <c r="O815" i="7"/>
  <c r="N815" i="7"/>
  <c r="M815" i="7"/>
  <c r="P815" i="7" s="1"/>
  <c r="L815" i="7"/>
  <c r="P810" i="7"/>
  <c r="O810" i="7"/>
  <c r="N810" i="7"/>
  <c r="P809" i="7"/>
  <c r="O809" i="7"/>
  <c r="O808" i="7"/>
  <c r="M808" i="7"/>
  <c r="P808" i="7" s="1"/>
  <c r="L808" i="7"/>
  <c r="M807" i="7"/>
  <c r="P807" i="7" s="1"/>
  <c r="L807" i="7"/>
  <c r="N806" i="7"/>
  <c r="M806" i="7"/>
  <c r="P806" i="7" s="1"/>
  <c r="L806" i="7"/>
  <c r="O806" i="7" s="1"/>
  <c r="K804" i="7"/>
  <c r="J804" i="7"/>
  <c r="K802" i="7"/>
  <c r="J801" i="7"/>
  <c r="J800" i="7"/>
  <c r="J785" i="7" s="1"/>
  <c r="I800" i="7"/>
  <c r="K800" i="7" s="1"/>
  <c r="P798" i="7"/>
  <c r="O798" i="7"/>
  <c r="P797" i="7"/>
  <c r="O797" i="7"/>
  <c r="N796" i="7"/>
  <c r="M796" i="7"/>
  <c r="P796" i="7" s="1"/>
  <c r="L796" i="7"/>
  <c r="O796" i="7" s="1"/>
  <c r="P791" i="7"/>
  <c r="N791" i="7"/>
  <c r="N789" i="7" s="1"/>
  <c r="L791" i="7"/>
  <c r="L788" i="7" s="1"/>
  <c r="P790" i="7"/>
  <c r="O790" i="7"/>
  <c r="M789" i="7"/>
  <c r="P789" i="7" s="1"/>
  <c r="M788" i="7"/>
  <c r="P788" i="7" s="1"/>
  <c r="O787" i="7"/>
  <c r="N787" i="7"/>
  <c r="M787" i="7"/>
  <c r="P787" i="7" s="1"/>
  <c r="L787" i="7"/>
  <c r="P782" i="7"/>
  <c r="O782" i="7"/>
  <c r="P781" i="7"/>
  <c r="O781" i="7"/>
  <c r="N780" i="7"/>
  <c r="M780" i="7"/>
  <c r="P780" i="7" s="1"/>
  <c r="L780" i="7"/>
  <c r="O780" i="7" s="1"/>
  <c r="P775" i="7"/>
  <c r="O775" i="7"/>
  <c r="N775" i="7"/>
  <c r="N772" i="7" s="1"/>
  <c r="P774" i="7"/>
  <c r="O774" i="7"/>
  <c r="N773" i="7"/>
  <c r="M773" i="7"/>
  <c r="P773" i="7" s="1"/>
  <c r="L773" i="7"/>
  <c r="O773" i="7" s="1"/>
  <c r="M772" i="7"/>
  <c r="L772" i="7"/>
  <c r="O772" i="7" s="1"/>
  <c r="N771" i="7"/>
  <c r="M771" i="7"/>
  <c r="P771" i="7" s="1"/>
  <c r="L771" i="7"/>
  <c r="K769" i="7"/>
  <c r="J769" i="7"/>
  <c r="P766" i="7"/>
  <c r="O766" i="7"/>
  <c r="P765" i="7"/>
  <c r="O765" i="7"/>
  <c r="N764" i="7"/>
  <c r="M764" i="7"/>
  <c r="P764" i="7" s="1"/>
  <c r="L764" i="7"/>
  <c r="O764" i="7" s="1"/>
  <c r="P759" i="7"/>
  <c r="O759" i="7"/>
  <c r="N759" i="7"/>
  <c r="N756" i="7" s="1"/>
  <c r="P758" i="7"/>
  <c r="O758" i="7"/>
  <c r="M757" i="7"/>
  <c r="P757" i="7" s="1"/>
  <c r="L757" i="7"/>
  <c r="O757" i="7" s="1"/>
  <c r="O756" i="7"/>
  <c r="M756" i="7"/>
  <c r="L756" i="7"/>
  <c r="N755" i="7"/>
  <c r="M755" i="7"/>
  <c r="P755" i="7" s="1"/>
  <c r="L755" i="7"/>
  <c r="K753" i="7"/>
  <c r="J753" i="7"/>
  <c r="P749" i="7"/>
  <c r="O749" i="7"/>
  <c r="P748" i="7"/>
  <c r="O748" i="7"/>
  <c r="P747" i="7"/>
  <c r="N747" i="7"/>
  <c r="M747" i="7"/>
  <c r="L747" i="7"/>
  <c r="O747" i="7" s="1"/>
  <c r="P742" i="7"/>
  <c r="O742" i="7"/>
  <c r="N742" i="7"/>
  <c r="N739" i="7" s="1"/>
  <c r="P741" i="7"/>
  <c r="O741" i="7"/>
  <c r="M740" i="7"/>
  <c r="P740" i="7" s="1"/>
  <c r="L740" i="7"/>
  <c r="O740" i="7" s="1"/>
  <c r="M739" i="7"/>
  <c r="L739" i="7"/>
  <c r="O739" i="7" s="1"/>
  <c r="N738" i="7"/>
  <c r="M738" i="7"/>
  <c r="P738" i="7" s="1"/>
  <c r="L738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N695" i="7"/>
  <c r="M695" i="7"/>
  <c r="P695" i="7" s="1"/>
  <c r="L695" i="7"/>
  <c r="O695" i="7" s="1"/>
  <c r="P690" i="7"/>
  <c r="N690" i="7"/>
  <c r="N688" i="7" s="1"/>
  <c r="M688" i="7"/>
  <c r="P688" i="7" s="1"/>
  <c r="M687" i="7"/>
  <c r="P687" i="7" s="1"/>
  <c r="N686" i="7"/>
  <c r="M686" i="7"/>
  <c r="P686" i="7" s="1"/>
  <c r="L686" i="7"/>
  <c r="O686" i="7" s="1"/>
  <c r="J679" i="7"/>
  <c r="J678" i="7" s="1"/>
  <c r="I678" i="7"/>
  <c r="K678" i="7" s="1"/>
  <c r="J675" i="7"/>
  <c r="J669" i="7" s="1"/>
  <c r="J654" i="7" s="1"/>
  <c r="I671" i="7"/>
  <c r="K671" i="7" s="1"/>
  <c r="I670" i="7"/>
  <c r="K670" i="7" s="1"/>
  <c r="I669" i="7"/>
  <c r="P667" i="7"/>
  <c r="O667" i="7"/>
  <c r="P666" i="7"/>
  <c r="O666" i="7"/>
  <c r="N665" i="7"/>
  <c r="M665" i="7"/>
  <c r="P665" i="7" s="1"/>
  <c r="L665" i="7"/>
  <c r="O665" i="7" s="1"/>
  <c r="P660" i="7"/>
  <c r="N660" i="7"/>
  <c r="N657" i="7" s="1"/>
  <c r="P659" i="7"/>
  <c r="O659" i="7"/>
  <c r="N658" i="7"/>
  <c r="M658" i="7"/>
  <c r="P658" i="7" s="1"/>
  <c r="M657" i="7"/>
  <c r="P657" i="7" s="1"/>
  <c r="N656" i="7"/>
  <c r="N655" i="7" s="1"/>
  <c r="M656" i="7"/>
  <c r="M655" i="7" s="1"/>
  <c r="P655" i="7" s="1"/>
  <c r="L656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P640" i="7"/>
  <c r="O640" i="7"/>
  <c r="N639" i="7"/>
  <c r="M639" i="7"/>
  <c r="P639" i="7" s="1"/>
  <c r="P634" i="7"/>
  <c r="N634" i="7"/>
  <c r="L634" i="7"/>
  <c r="O634" i="7" s="1"/>
  <c r="P633" i="7"/>
  <c r="O633" i="7"/>
  <c r="P632" i="7"/>
  <c r="N632" i="7"/>
  <c r="M632" i="7"/>
  <c r="N631" i="7"/>
  <c r="M631" i="7"/>
  <c r="P631" i="7" s="1"/>
  <c r="P630" i="7"/>
  <c r="N630" i="7"/>
  <c r="N629" i="7" s="1"/>
  <c r="M630" i="7"/>
  <c r="M629" i="7" s="1"/>
  <c r="P629" i="7" s="1"/>
  <c r="L630" i="7"/>
  <c r="O630" i="7" s="1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4" i="7"/>
  <c r="I594" i="7"/>
  <c r="K594" i="7" s="1"/>
  <c r="J593" i="7"/>
  <c r="I593" i="7"/>
  <c r="I592" i="7" s="1"/>
  <c r="K592" i="7" s="1"/>
  <c r="J592" i="7"/>
  <c r="J583" i="7"/>
  <c r="J577" i="7" s="1"/>
  <c r="J582" i="7"/>
  <c r="J576" i="7" s="1"/>
  <c r="J559" i="7" s="1"/>
  <c r="J543" i="7" s="1"/>
  <c r="I577" i="7"/>
  <c r="K577" i="7" s="1"/>
  <c r="I576" i="7"/>
  <c r="K576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P557" i="7"/>
  <c r="L557" i="7"/>
  <c r="O557" i="7" s="1"/>
  <c r="P556" i="7"/>
  <c r="O556" i="7"/>
  <c r="P555" i="7"/>
  <c r="N555" i="7"/>
  <c r="N545" i="7" s="1"/>
  <c r="N544" i="7" s="1"/>
  <c r="M555" i="7"/>
  <c r="P549" i="7"/>
  <c r="N549" i="7"/>
  <c r="L549" i="7"/>
  <c r="O549" i="7" s="1"/>
  <c r="P548" i="7"/>
  <c r="O548" i="7"/>
  <c r="N547" i="7"/>
  <c r="M547" i="7"/>
  <c r="P547" i="7" s="1"/>
  <c r="P546" i="7"/>
  <c r="N546" i="7"/>
  <c r="M546" i="7"/>
  <c r="O545" i="7"/>
  <c r="M545" i="7"/>
  <c r="L545" i="7"/>
  <c r="I542" i="7"/>
  <c r="K542" i="7" s="1"/>
  <c r="I541" i="7"/>
  <c r="K541" i="7" s="1"/>
  <c r="I540" i="7"/>
  <c r="K540" i="7" s="1"/>
  <c r="I539" i="7"/>
  <c r="K539" i="7" s="1"/>
  <c r="I538" i="7"/>
  <c r="I537" i="7"/>
  <c r="I522" i="7" s="1"/>
  <c r="K522" i="7" s="1"/>
  <c r="P535" i="7"/>
  <c r="L535" i="7"/>
  <c r="O535" i="7" s="1"/>
  <c r="P534" i="7"/>
  <c r="O534" i="7"/>
  <c r="P533" i="7"/>
  <c r="N533" i="7"/>
  <c r="M533" i="7"/>
  <c r="P528" i="7"/>
  <c r="N528" i="7"/>
  <c r="L528" i="7"/>
  <c r="P527" i="7"/>
  <c r="O527" i="7"/>
  <c r="P526" i="7"/>
  <c r="N526" i="7"/>
  <c r="M526" i="7"/>
  <c r="P525" i="7"/>
  <c r="N525" i="7"/>
  <c r="M525" i="7"/>
  <c r="O524" i="7"/>
  <c r="N524" i="7"/>
  <c r="N523" i="7" s="1"/>
  <c r="M524" i="7"/>
  <c r="P524" i="7" s="1"/>
  <c r="L524" i="7"/>
  <c r="P523" i="7"/>
  <c r="M523" i="7"/>
  <c r="K517" i="7"/>
  <c r="J517" i="7"/>
  <c r="J501" i="7" s="1"/>
  <c r="K516" i="7"/>
  <c r="P514" i="7"/>
  <c r="O514" i="7"/>
  <c r="P513" i="7"/>
  <c r="O513" i="7"/>
  <c r="P512" i="7"/>
  <c r="O512" i="7"/>
  <c r="N512" i="7"/>
  <c r="M512" i="7"/>
  <c r="L512" i="7"/>
  <c r="P507" i="7"/>
  <c r="O507" i="7"/>
  <c r="N507" i="7"/>
  <c r="N504" i="7" s="1"/>
  <c r="P506" i="7"/>
  <c r="O506" i="7"/>
  <c r="O505" i="7"/>
  <c r="N505" i="7"/>
  <c r="M505" i="7"/>
  <c r="P505" i="7" s="1"/>
  <c r="L505" i="7"/>
  <c r="P504" i="7"/>
  <c r="M504" i="7"/>
  <c r="L504" i="7"/>
  <c r="O504" i="7" s="1"/>
  <c r="N503" i="7"/>
  <c r="M503" i="7"/>
  <c r="L503" i="7"/>
  <c r="L502" i="7" s="1"/>
  <c r="O502" i="7" s="1"/>
  <c r="N502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L477" i="7" s="1"/>
  <c r="O477" i="7" s="1"/>
  <c r="P478" i="7"/>
  <c r="O478" i="7"/>
  <c r="P477" i="7"/>
  <c r="N477" i="7"/>
  <c r="M477" i="7"/>
  <c r="P472" i="7"/>
  <c r="N472" i="7"/>
  <c r="N469" i="7" s="1"/>
  <c r="L472" i="7"/>
  <c r="P471" i="7"/>
  <c r="O471" i="7"/>
  <c r="M470" i="7"/>
  <c r="P470" i="7" s="1"/>
  <c r="M469" i="7"/>
  <c r="P469" i="7" s="1"/>
  <c r="O468" i="7"/>
  <c r="N468" i="7"/>
  <c r="M468" i="7"/>
  <c r="M467" i="7" s="1"/>
  <c r="P467" i="7" s="1"/>
  <c r="L468" i="7"/>
  <c r="N467" i="7"/>
  <c r="J466" i="7"/>
  <c r="I466" i="7"/>
  <c r="K466" i="7" s="1"/>
  <c r="J465" i="7"/>
  <c r="I465" i="7"/>
  <c r="K465" i="7" s="1"/>
  <c r="I464" i="7"/>
  <c r="I463" i="7"/>
  <c r="I462" i="7"/>
  <c r="I460" i="7"/>
  <c r="K460" i="7" s="1"/>
  <c r="K458" i="7"/>
  <c r="P456" i="7"/>
  <c r="L456" i="7"/>
  <c r="P455" i="7"/>
  <c r="O455" i="7"/>
  <c r="P454" i="7"/>
  <c r="N454" i="7"/>
  <c r="M454" i="7"/>
  <c r="P449" i="7"/>
  <c r="N449" i="7"/>
  <c r="L449" i="7"/>
  <c r="P448" i="7"/>
  <c r="O448" i="7"/>
  <c r="P447" i="7"/>
  <c r="N447" i="7"/>
  <c r="M447" i="7"/>
  <c r="N446" i="7"/>
  <c r="M446" i="7"/>
  <c r="P446" i="7" s="1"/>
  <c r="N445" i="7"/>
  <c r="M445" i="7"/>
  <c r="L445" i="7"/>
  <c r="O445" i="7" s="1"/>
  <c r="J443" i="7"/>
  <c r="J442" i="7"/>
  <c r="I441" i="7"/>
  <c r="K441" i="7" s="1"/>
  <c r="I440" i="7"/>
  <c r="K440" i="7" s="1"/>
  <c r="I439" i="7"/>
  <c r="K439" i="7" s="1"/>
  <c r="I438" i="7"/>
  <c r="I437" i="7"/>
  <c r="K437" i="7" s="1"/>
  <c r="I435" i="7"/>
  <c r="I433" i="7" s="1"/>
  <c r="I417" i="7" s="1"/>
  <c r="J434" i="7"/>
  <c r="P431" i="7"/>
  <c r="L431" i="7"/>
  <c r="P430" i="7"/>
  <c r="O430" i="7"/>
  <c r="P429" i="7"/>
  <c r="N429" i="7"/>
  <c r="M429" i="7"/>
  <c r="P424" i="7"/>
  <c r="N424" i="7"/>
  <c r="L424" i="7"/>
  <c r="O424" i="7" s="1"/>
  <c r="P423" i="7"/>
  <c r="O423" i="7"/>
  <c r="P422" i="7"/>
  <c r="N422" i="7"/>
  <c r="M422" i="7"/>
  <c r="N421" i="7"/>
  <c r="M421" i="7"/>
  <c r="P421" i="7" s="1"/>
  <c r="N420" i="7"/>
  <c r="M420" i="7"/>
  <c r="L420" i="7"/>
  <c r="O420" i="7" s="1"/>
  <c r="J418" i="7"/>
  <c r="K413" i="7"/>
  <c r="K412" i="7"/>
  <c r="N410" i="7"/>
  <c r="N408" i="7" s="1"/>
  <c r="M410" i="7"/>
  <c r="P410" i="7" s="1"/>
  <c r="L410" i="7"/>
  <c r="P409" i="7"/>
  <c r="O409" i="7"/>
  <c r="N407" i="7"/>
  <c r="M407" i="7"/>
  <c r="M405" i="7" s="1"/>
  <c r="P405" i="7" s="1"/>
  <c r="L407" i="7"/>
  <c r="L405" i="7" s="1"/>
  <c r="O405" i="7" s="1"/>
  <c r="P406" i="7"/>
  <c r="O406" i="7"/>
  <c r="P403" i="7"/>
  <c r="N403" i="7"/>
  <c r="M403" i="7"/>
  <c r="L403" i="7"/>
  <c r="J401" i="7"/>
  <c r="I401" i="7"/>
  <c r="K401" i="7" s="1"/>
  <c r="K400" i="7"/>
  <c r="K399" i="7"/>
  <c r="N397" i="7"/>
  <c r="N395" i="7" s="1"/>
  <c r="M397" i="7"/>
  <c r="L397" i="7"/>
  <c r="P396" i="7"/>
  <c r="O396" i="7"/>
  <c r="N394" i="7"/>
  <c r="M394" i="7"/>
  <c r="L394" i="7"/>
  <c r="O394" i="7" s="1"/>
  <c r="P393" i="7"/>
  <c r="O393" i="7"/>
  <c r="N390" i="7"/>
  <c r="M390" i="7"/>
  <c r="L390" i="7"/>
  <c r="O390" i="7" s="1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L353" i="7"/>
  <c r="P352" i="7"/>
  <c r="O352" i="7"/>
  <c r="N350" i="7"/>
  <c r="M350" i="7"/>
  <c r="L350" i="7"/>
  <c r="L348" i="7" s="1"/>
  <c r="P349" i="7"/>
  <c r="O349" i="7"/>
  <c r="P346" i="7"/>
  <c r="N346" i="7"/>
  <c r="M346" i="7"/>
  <c r="L346" i="7"/>
  <c r="J343" i="7"/>
  <c r="J342" i="7"/>
  <c r="J341" i="7"/>
  <c r="J340" i="7"/>
  <c r="I340" i="7"/>
  <c r="J338" i="7"/>
  <c r="I338" i="7"/>
  <c r="N336" i="7"/>
  <c r="M336" i="7"/>
  <c r="L336" i="7"/>
  <c r="P335" i="7"/>
  <c r="O335" i="7"/>
  <c r="N333" i="7"/>
  <c r="M333" i="7"/>
  <c r="L333" i="7"/>
  <c r="L331" i="7" s="1"/>
  <c r="P332" i="7"/>
  <c r="O332" i="7"/>
  <c r="N329" i="7"/>
  <c r="M329" i="7"/>
  <c r="L329" i="7"/>
  <c r="O329" i="7" s="1"/>
  <c r="I327" i="7"/>
  <c r="I325" i="7"/>
  <c r="K325" i="7" s="1"/>
  <c r="N323" i="7"/>
  <c r="N321" i="7" s="1"/>
  <c r="M323" i="7"/>
  <c r="P323" i="7" s="1"/>
  <c r="L323" i="7"/>
  <c r="L321" i="7" s="1"/>
  <c r="O321" i="7" s="1"/>
  <c r="P322" i="7"/>
  <c r="O322" i="7"/>
  <c r="N320" i="7"/>
  <c r="M320" i="7"/>
  <c r="P320" i="7" s="1"/>
  <c r="L320" i="7"/>
  <c r="O320" i="7" s="1"/>
  <c r="P319" i="7"/>
  <c r="O319" i="7"/>
  <c r="P316" i="7"/>
  <c r="N316" i="7"/>
  <c r="M316" i="7"/>
  <c r="L316" i="7"/>
  <c r="O316" i="7" s="1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P306" i="7" s="1"/>
  <c r="L306" i="7"/>
  <c r="O306" i="7" s="1"/>
  <c r="P305" i="7"/>
  <c r="O305" i="7"/>
  <c r="N303" i="7"/>
  <c r="N301" i="7" s="1"/>
  <c r="M303" i="7"/>
  <c r="L303" i="7"/>
  <c r="O303" i="7" s="1"/>
  <c r="P302" i="7"/>
  <c r="O302" i="7"/>
  <c r="N299" i="7"/>
  <c r="M299" i="7"/>
  <c r="L299" i="7"/>
  <c r="O299" i="7" s="1"/>
  <c r="J297" i="7"/>
  <c r="I294" i="7"/>
  <c r="K294" i="7" s="1"/>
  <c r="I293" i="7"/>
  <c r="K293" i="7" s="1"/>
  <c r="I291" i="7"/>
  <c r="K291" i="7" s="1"/>
  <c r="I290" i="7"/>
  <c r="K290" i="7" s="1"/>
  <c r="I288" i="7"/>
  <c r="K288" i="7" s="1"/>
  <c r="I287" i="7"/>
  <c r="K287" i="7" s="1"/>
  <c r="N285" i="7"/>
  <c r="N283" i="7" s="1"/>
  <c r="M285" i="7"/>
  <c r="P285" i="7" s="1"/>
  <c r="L285" i="7"/>
  <c r="L283" i="7" s="1"/>
  <c r="O283" i="7" s="1"/>
  <c r="P284" i="7"/>
  <c r="O284" i="7"/>
  <c r="N282" i="7"/>
  <c r="M282" i="7"/>
  <c r="M280" i="7" s="1"/>
  <c r="P280" i="7" s="1"/>
  <c r="L282" i="7"/>
  <c r="P281" i="7"/>
  <c r="O281" i="7"/>
  <c r="P278" i="7"/>
  <c r="O278" i="7"/>
  <c r="N278" i="7"/>
  <c r="M278" i="7"/>
  <c r="L278" i="7"/>
  <c r="J276" i="7"/>
  <c r="I271" i="7"/>
  <c r="K271" i="7" s="1"/>
  <c r="N269" i="7"/>
  <c r="N267" i="7" s="1"/>
  <c r="M269" i="7"/>
  <c r="P269" i="7" s="1"/>
  <c r="L269" i="7"/>
  <c r="O269" i="7" s="1"/>
  <c r="P268" i="7"/>
  <c r="O268" i="7"/>
  <c r="N266" i="7"/>
  <c r="N264" i="7" s="1"/>
  <c r="M266" i="7"/>
  <c r="P266" i="7" s="1"/>
  <c r="L266" i="7"/>
  <c r="L264" i="7" s="1"/>
  <c r="P265" i="7"/>
  <c r="O265" i="7"/>
  <c r="P262" i="7"/>
  <c r="O262" i="7"/>
  <c r="N262" i="7"/>
  <c r="M262" i="7"/>
  <c r="L262" i="7"/>
  <c r="J260" i="7"/>
  <c r="K258" i="7"/>
  <c r="K257" i="7"/>
  <c r="I255" i="7"/>
  <c r="I248" i="7" s="1"/>
  <c r="K248" i="7" s="1"/>
  <c r="L253" i="7"/>
  <c r="L252" i="7"/>
  <c r="L251" i="7"/>
  <c r="L250" i="7"/>
  <c r="P249" i="7"/>
  <c r="N249" i="7"/>
  <c r="J248" i="7"/>
  <c r="K247" i="7"/>
  <c r="K246" i="7"/>
  <c r="I244" i="7"/>
  <c r="I237" i="7" s="1"/>
  <c r="L242" i="7"/>
  <c r="L241" i="7"/>
  <c r="L240" i="7"/>
  <c r="L239" i="7"/>
  <c r="P238" i="7"/>
  <c r="N238" i="7"/>
  <c r="N227" i="7" s="1"/>
  <c r="J237" i="7"/>
  <c r="J226" i="7" s="1"/>
  <c r="J180" i="7" s="1"/>
  <c r="J236" i="7"/>
  <c r="I236" i="7"/>
  <c r="K236" i="7" s="1"/>
  <c r="J235" i="7"/>
  <c r="I235" i="7"/>
  <c r="K235" i="7" s="1"/>
  <c r="J233" i="7"/>
  <c r="N231" i="7"/>
  <c r="N230" i="7"/>
  <c r="N229" i="7"/>
  <c r="N228" i="7"/>
  <c r="I225" i="7"/>
  <c r="K225" i="7" s="1"/>
  <c r="I224" i="7"/>
  <c r="I216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I190" i="7" s="1"/>
  <c r="K190" i="7" s="1"/>
  <c r="P191" i="7"/>
  <c r="L191" i="7"/>
  <c r="O191" i="7" s="1"/>
  <c r="J190" i="7"/>
  <c r="N189" i="7"/>
  <c r="N187" i="7" s="1"/>
  <c r="M189" i="7"/>
  <c r="M187" i="7" s="1"/>
  <c r="P187" i="7" s="1"/>
  <c r="L189" i="7"/>
  <c r="L187" i="7" s="1"/>
  <c r="O187" i="7" s="1"/>
  <c r="P188" i="7"/>
  <c r="O188" i="7"/>
  <c r="N186" i="7"/>
  <c r="M186" i="7"/>
  <c r="M184" i="7" s="1"/>
  <c r="L186" i="7"/>
  <c r="L184" i="7" s="1"/>
  <c r="P185" i="7"/>
  <c r="O185" i="7"/>
  <c r="O182" i="7"/>
  <c r="N182" i="7"/>
  <c r="M182" i="7"/>
  <c r="P182" i="7" s="1"/>
  <c r="L182" i="7"/>
  <c r="K180" i="7"/>
  <c r="J177" i="7"/>
  <c r="I176" i="7"/>
  <c r="K176" i="7" s="1"/>
  <c r="J174" i="7"/>
  <c r="J164" i="7" s="1"/>
  <c r="N173" i="7"/>
  <c r="N171" i="7" s="1"/>
  <c r="M173" i="7"/>
  <c r="P173" i="7" s="1"/>
  <c r="L173" i="7"/>
  <c r="O173" i="7" s="1"/>
  <c r="P172" i="7"/>
  <c r="O172" i="7"/>
  <c r="N170" i="7"/>
  <c r="M170" i="7"/>
  <c r="M168" i="7" s="1"/>
  <c r="L170" i="7"/>
  <c r="P169" i="7"/>
  <c r="O169" i="7"/>
  <c r="P166" i="7"/>
  <c r="N166" i="7"/>
  <c r="M166" i="7"/>
  <c r="L166" i="7"/>
  <c r="O166" i="7" s="1"/>
  <c r="I159" i="7"/>
  <c r="K159" i="7" s="1"/>
  <c r="N157" i="7"/>
  <c r="M157" i="7"/>
  <c r="M155" i="7" s="1"/>
  <c r="P155" i="7" s="1"/>
  <c r="L157" i="7"/>
  <c r="O157" i="7" s="1"/>
  <c r="P156" i="7"/>
  <c r="O156" i="7"/>
  <c r="N154" i="7"/>
  <c r="N152" i="7" s="1"/>
  <c r="M154" i="7"/>
  <c r="M152" i="7" s="1"/>
  <c r="P152" i="7" s="1"/>
  <c r="L154" i="7"/>
  <c r="O154" i="7" s="1"/>
  <c r="P153" i="7"/>
  <c r="O153" i="7"/>
  <c r="O150" i="7"/>
  <c r="N150" i="7"/>
  <c r="M150" i="7"/>
  <c r="P150" i="7" s="1"/>
  <c r="L150" i="7"/>
  <c r="J148" i="7"/>
  <c r="I146" i="7"/>
  <c r="I145" i="7"/>
  <c r="K145" i="7" s="1"/>
  <c r="I144" i="7"/>
  <c r="K144" i="7" s="1"/>
  <c r="N140" i="7"/>
  <c r="N138" i="7" s="1"/>
  <c r="M140" i="7"/>
  <c r="P140" i="7" s="1"/>
  <c r="L140" i="7"/>
  <c r="O140" i="7" s="1"/>
  <c r="P139" i="7"/>
  <c r="O139" i="7"/>
  <c r="N137" i="7"/>
  <c r="M137" i="7"/>
  <c r="P137" i="7" s="1"/>
  <c r="L137" i="7"/>
  <c r="O137" i="7" s="1"/>
  <c r="P136" i="7"/>
  <c r="O136" i="7"/>
  <c r="P133" i="7"/>
  <c r="O133" i="7"/>
  <c r="N133" i="7"/>
  <c r="M133" i="7"/>
  <c r="L133" i="7"/>
  <c r="J130" i="7"/>
  <c r="N127" i="7"/>
  <c r="M127" i="7"/>
  <c r="M125" i="7" s="1"/>
  <c r="P125" i="7" s="1"/>
  <c r="L127" i="7"/>
  <c r="P126" i="7"/>
  <c r="O126" i="7"/>
  <c r="N124" i="7"/>
  <c r="N122" i="7" s="1"/>
  <c r="M124" i="7"/>
  <c r="L124" i="7"/>
  <c r="P123" i="7"/>
  <c r="O123" i="7"/>
  <c r="P120" i="7"/>
  <c r="O120" i="7"/>
  <c r="N120" i="7"/>
  <c r="M120" i="7"/>
  <c r="L120" i="7"/>
  <c r="I116" i="7"/>
  <c r="I115" i="7"/>
  <c r="K115" i="7" s="1"/>
  <c r="I114" i="7"/>
  <c r="K114" i="7" s="1"/>
  <c r="I113" i="7"/>
  <c r="K113" i="7" s="1"/>
  <c r="J112" i="7"/>
  <c r="J111" i="7"/>
  <c r="I111" i="7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J98" i="7"/>
  <c r="I98" i="7"/>
  <c r="I86" i="7" s="1"/>
  <c r="N96" i="7"/>
  <c r="N94" i="7" s="1"/>
  <c r="M96" i="7"/>
  <c r="L96" i="7"/>
  <c r="O96" i="7" s="1"/>
  <c r="P95" i="7"/>
  <c r="O95" i="7"/>
  <c r="N93" i="7"/>
  <c r="M93" i="7"/>
  <c r="M91" i="7" s="1"/>
  <c r="L93" i="7"/>
  <c r="P92" i="7"/>
  <c r="O92" i="7"/>
  <c r="P89" i="7"/>
  <c r="N89" i="7"/>
  <c r="M89" i="7"/>
  <c r="L89" i="7"/>
  <c r="O89" i="7" s="1"/>
  <c r="J87" i="7"/>
  <c r="I84" i="7"/>
  <c r="K84" i="7" s="1"/>
  <c r="I83" i="7"/>
  <c r="K83" i="7" s="1"/>
  <c r="I82" i="7"/>
  <c r="I81" i="7"/>
  <c r="K81" i="7" s="1"/>
  <c r="I80" i="7"/>
  <c r="K80" i="7" s="1"/>
  <c r="I79" i="7"/>
  <c r="I78" i="7"/>
  <c r="K78" i="7" s="1"/>
  <c r="J77" i="7"/>
  <c r="J76" i="7"/>
  <c r="J64" i="7" s="1"/>
  <c r="N74" i="7"/>
  <c r="N72" i="7" s="1"/>
  <c r="M74" i="7"/>
  <c r="P74" i="7" s="1"/>
  <c r="L74" i="7"/>
  <c r="P73" i="7"/>
  <c r="O73" i="7"/>
  <c r="N71" i="7"/>
  <c r="M71" i="7"/>
  <c r="P71" i="7" s="1"/>
  <c r="L71" i="7"/>
  <c r="O71" i="7" s="1"/>
  <c r="P70" i="7"/>
  <c r="O70" i="7"/>
  <c r="N67" i="7"/>
  <c r="M67" i="7"/>
  <c r="L67" i="7"/>
  <c r="O67" i="7" s="1"/>
  <c r="J65" i="7"/>
  <c r="N61" i="7"/>
  <c r="N59" i="7" s="1"/>
  <c r="M61" i="7"/>
  <c r="M59" i="7" s="1"/>
  <c r="L61" i="7"/>
  <c r="P60" i="7"/>
  <c r="O60" i="7"/>
  <c r="N58" i="7"/>
  <c r="M58" i="7"/>
  <c r="M56" i="7" s="1"/>
  <c r="L58" i="7"/>
  <c r="L56" i="7" s="1"/>
  <c r="P57" i="7"/>
  <c r="O57" i="7"/>
  <c r="P54" i="7"/>
  <c r="N54" i="7"/>
  <c r="M54" i="7"/>
  <c r="L54" i="7"/>
  <c r="N49" i="7"/>
  <c r="N47" i="7" s="1"/>
  <c r="M49" i="7"/>
  <c r="P49" i="7" s="1"/>
  <c r="L49" i="7"/>
  <c r="O49" i="7" s="1"/>
  <c r="P48" i="7"/>
  <c r="O48" i="7"/>
  <c r="N46" i="7"/>
  <c r="M46" i="7"/>
  <c r="L46" i="7"/>
  <c r="L44" i="7" s="1"/>
  <c r="P45" i="7"/>
  <c r="O45" i="7"/>
  <c r="O42" i="7"/>
  <c r="N42" i="7"/>
  <c r="M42" i="7"/>
  <c r="L42" i="7"/>
  <c r="N36" i="7"/>
  <c r="M36" i="7"/>
  <c r="P36" i="7" s="1"/>
  <c r="O35" i="7"/>
  <c r="N35" i="7"/>
  <c r="N34" i="7" s="1"/>
  <c r="M35" i="7"/>
  <c r="M34" i="7" s="1"/>
  <c r="P34" i="7" s="1"/>
  <c r="L35" i="7"/>
  <c r="M33" i="7"/>
  <c r="P33" i="7" s="1"/>
  <c r="N32" i="7"/>
  <c r="N12" i="7" s="1"/>
  <c r="M32" i="7"/>
  <c r="P32" i="7" s="1"/>
  <c r="L32" i="7"/>
  <c r="N25" i="7"/>
  <c r="M25" i="7"/>
  <c r="P25" i="7" s="1"/>
  <c r="L25" i="7"/>
  <c r="P22" i="7"/>
  <c r="O22" i="7"/>
  <c r="N22" i="7"/>
  <c r="M22" i="7"/>
  <c r="L22" i="7"/>
  <c r="N19" i="7"/>
  <c r="M19" i="7"/>
  <c r="P19" i="7" s="1"/>
  <c r="L19" i="7"/>
  <c r="M12" i="7"/>
  <c r="P12" i="7" s="1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P817" i="6"/>
  <c r="O817" i="6"/>
  <c r="P816" i="6"/>
  <c r="O816" i="6"/>
  <c r="O815" i="6"/>
  <c r="N815" i="6"/>
  <c r="M815" i="6"/>
  <c r="P815" i="6" s="1"/>
  <c r="L815" i="6"/>
  <c r="P810" i="6"/>
  <c r="O810" i="6"/>
  <c r="N810" i="6"/>
  <c r="P809" i="6"/>
  <c r="O809" i="6"/>
  <c r="O808" i="6"/>
  <c r="M808" i="6"/>
  <c r="P808" i="6" s="1"/>
  <c r="L808" i="6"/>
  <c r="P807" i="6"/>
  <c r="M807" i="6"/>
  <c r="L807" i="6"/>
  <c r="O806" i="6"/>
  <c r="N806" i="6"/>
  <c r="M806" i="6"/>
  <c r="P806" i="6" s="1"/>
  <c r="L806" i="6"/>
  <c r="P805" i="6"/>
  <c r="M805" i="6"/>
  <c r="K804" i="6"/>
  <c r="J804" i="6"/>
  <c r="K802" i="6"/>
  <c r="J801" i="6"/>
  <c r="J800" i="6"/>
  <c r="J785" i="6" s="1"/>
  <c r="I800" i="6"/>
  <c r="P798" i="6"/>
  <c r="O798" i="6"/>
  <c r="P797" i="6"/>
  <c r="O797" i="6"/>
  <c r="P796" i="6"/>
  <c r="N796" i="6"/>
  <c r="M796" i="6"/>
  <c r="L796" i="6"/>
  <c r="O796" i="6" s="1"/>
  <c r="P791" i="6"/>
  <c r="N791" i="6"/>
  <c r="L791" i="6"/>
  <c r="L788" i="6" s="1"/>
  <c r="P790" i="6"/>
  <c r="O790" i="6"/>
  <c r="N789" i="6"/>
  <c r="M789" i="6"/>
  <c r="P789" i="6" s="1"/>
  <c r="P788" i="6"/>
  <c r="N788" i="6"/>
  <c r="M788" i="6"/>
  <c r="O787" i="6"/>
  <c r="N787" i="6"/>
  <c r="M787" i="6"/>
  <c r="P787" i="6" s="1"/>
  <c r="L787" i="6"/>
  <c r="N786" i="6"/>
  <c r="P782" i="6"/>
  <c r="O782" i="6"/>
  <c r="P781" i="6"/>
  <c r="O781" i="6"/>
  <c r="P780" i="6"/>
  <c r="N780" i="6"/>
  <c r="M780" i="6"/>
  <c r="L780" i="6"/>
  <c r="O780" i="6" s="1"/>
  <c r="P775" i="6"/>
  <c r="O775" i="6"/>
  <c r="N775" i="6"/>
  <c r="N772" i="6" s="1"/>
  <c r="P774" i="6"/>
  <c r="O774" i="6"/>
  <c r="P773" i="6"/>
  <c r="N773" i="6"/>
  <c r="M773" i="6"/>
  <c r="L773" i="6"/>
  <c r="O773" i="6" s="1"/>
  <c r="O772" i="6"/>
  <c r="M772" i="6"/>
  <c r="L772" i="6"/>
  <c r="P771" i="6"/>
  <c r="N771" i="6"/>
  <c r="M771" i="6"/>
  <c r="L771" i="6"/>
  <c r="K769" i="6"/>
  <c r="J769" i="6"/>
  <c r="P766" i="6"/>
  <c r="O766" i="6"/>
  <c r="P765" i="6"/>
  <c r="O765" i="6"/>
  <c r="P764" i="6"/>
  <c r="N764" i="6"/>
  <c r="M764" i="6"/>
  <c r="L764" i="6"/>
  <c r="O764" i="6" s="1"/>
  <c r="P759" i="6"/>
  <c r="O759" i="6"/>
  <c r="N759" i="6"/>
  <c r="N756" i="6" s="1"/>
  <c r="P758" i="6"/>
  <c r="O758" i="6"/>
  <c r="P757" i="6"/>
  <c r="N757" i="6"/>
  <c r="M757" i="6"/>
  <c r="L757" i="6"/>
  <c r="O757" i="6" s="1"/>
  <c r="O756" i="6"/>
  <c r="M756" i="6"/>
  <c r="L756" i="6"/>
  <c r="P755" i="6"/>
  <c r="N755" i="6"/>
  <c r="N754" i="6" s="1"/>
  <c r="M755" i="6"/>
  <c r="L755" i="6"/>
  <c r="K753" i="6"/>
  <c r="J753" i="6"/>
  <c r="P749" i="6"/>
  <c r="O749" i="6"/>
  <c r="P748" i="6"/>
  <c r="O748" i="6"/>
  <c r="P747" i="6"/>
  <c r="N747" i="6"/>
  <c r="M747" i="6"/>
  <c r="L747" i="6"/>
  <c r="O747" i="6" s="1"/>
  <c r="P742" i="6"/>
  <c r="O742" i="6"/>
  <c r="N742" i="6"/>
  <c r="N739" i="6" s="1"/>
  <c r="P741" i="6"/>
  <c r="O741" i="6"/>
  <c r="P740" i="6"/>
  <c r="N740" i="6"/>
  <c r="M740" i="6"/>
  <c r="L740" i="6"/>
  <c r="O740" i="6" s="1"/>
  <c r="O739" i="6"/>
  <c r="M739" i="6"/>
  <c r="L739" i="6"/>
  <c r="P738" i="6"/>
  <c r="N738" i="6"/>
  <c r="M738" i="6"/>
  <c r="L738" i="6"/>
  <c r="K736" i="6"/>
  <c r="J736" i="6"/>
  <c r="J729" i="6"/>
  <c r="I729" i="6"/>
  <c r="K729" i="6" s="1"/>
  <c r="J728" i="6"/>
  <c r="I728" i="6"/>
  <c r="J727" i="6"/>
  <c r="J726" i="6"/>
  <c r="I726" i="6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K708" i="6" s="1"/>
  <c r="I707" i="6"/>
  <c r="I704" i="6"/>
  <c r="J701" i="6"/>
  <c r="I701" i="6"/>
  <c r="J700" i="6"/>
  <c r="I700" i="6"/>
  <c r="J699" i="6"/>
  <c r="I699" i="6"/>
  <c r="P697" i="6"/>
  <c r="O697" i="6"/>
  <c r="P696" i="6"/>
  <c r="O696" i="6"/>
  <c r="P695" i="6"/>
  <c r="N695" i="6"/>
  <c r="M695" i="6"/>
  <c r="L695" i="6"/>
  <c r="O695" i="6" s="1"/>
  <c r="P690" i="6"/>
  <c r="N690" i="6"/>
  <c r="N688" i="6" s="1"/>
  <c r="L690" i="6"/>
  <c r="L688" i="6" s="1"/>
  <c r="M688" i="6"/>
  <c r="P688" i="6" s="1"/>
  <c r="P687" i="6"/>
  <c r="N687" i="6"/>
  <c r="M687" i="6"/>
  <c r="O686" i="6"/>
  <c r="N686" i="6"/>
  <c r="M686" i="6"/>
  <c r="P686" i="6" s="1"/>
  <c r="L686" i="6"/>
  <c r="P685" i="6"/>
  <c r="N685" i="6"/>
  <c r="M685" i="6"/>
  <c r="J679" i="6"/>
  <c r="J678" i="6"/>
  <c r="I678" i="6"/>
  <c r="K678" i="6" s="1"/>
  <c r="J675" i="6"/>
  <c r="J669" i="6" s="1"/>
  <c r="J654" i="6" s="1"/>
  <c r="I671" i="6"/>
  <c r="K671" i="6" s="1"/>
  <c r="I670" i="6"/>
  <c r="K670" i="6" s="1"/>
  <c r="I669" i="6"/>
  <c r="K672" i="6" s="1"/>
  <c r="P667" i="6"/>
  <c r="O667" i="6"/>
  <c r="P666" i="6"/>
  <c r="O666" i="6"/>
  <c r="O665" i="6"/>
  <c r="N665" i="6"/>
  <c r="M665" i="6"/>
  <c r="P665" i="6" s="1"/>
  <c r="L665" i="6"/>
  <c r="P660" i="6"/>
  <c r="N660" i="6"/>
  <c r="N657" i="6" s="1"/>
  <c r="L660" i="6"/>
  <c r="O660" i="6" s="1"/>
  <c r="P659" i="6"/>
  <c r="O659" i="6"/>
  <c r="P658" i="6"/>
  <c r="N658" i="6"/>
  <c r="M658" i="6"/>
  <c r="M657" i="6"/>
  <c r="P657" i="6" s="1"/>
  <c r="P656" i="6"/>
  <c r="N656" i="6"/>
  <c r="N655" i="6" s="1"/>
  <c r="M656" i="6"/>
  <c r="L656" i="6"/>
  <c r="M655" i="6"/>
  <c r="P655" i="6" s="1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N639" i="6"/>
  <c r="M639" i="6"/>
  <c r="P639" i="6" s="1"/>
  <c r="P634" i="6"/>
  <c r="N634" i="6"/>
  <c r="L634" i="6"/>
  <c r="O634" i="6" s="1"/>
  <c r="P633" i="6"/>
  <c r="O633" i="6"/>
  <c r="P632" i="6"/>
  <c r="N632" i="6"/>
  <c r="M632" i="6"/>
  <c r="N631" i="6"/>
  <c r="M631" i="6"/>
  <c r="P631" i="6" s="1"/>
  <c r="P630" i="6"/>
  <c r="N630" i="6"/>
  <c r="N629" i="6" s="1"/>
  <c r="M630" i="6"/>
  <c r="L630" i="6"/>
  <c r="O630" i="6" s="1"/>
  <c r="M629" i="6"/>
  <c r="P629" i="6" s="1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3" i="6" s="1"/>
  <c r="J596" i="6"/>
  <c r="J595" i="6"/>
  <c r="J594" i="6"/>
  <c r="I594" i="6"/>
  <c r="K594" i="6" s="1"/>
  <c r="I593" i="6"/>
  <c r="I592" i="6" s="1"/>
  <c r="J592" i="6"/>
  <c r="J583" i="6"/>
  <c r="J577" i="6" s="1"/>
  <c r="J582" i="6"/>
  <c r="I577" i="6"/>
  <c r="K577" i="6" s="1"/>
  <c r="J576" i="6"/>
  <c r="J559" i="6" s="1"/>
  <c r="J543" i="6" s="1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L555" i="6" s="1"/>
  <c r="O555" i="6" s="1"/>
  <c r="P556" i="6"/>
  <c r="O556" i="6"/>
  <c r="P555" i="6"/>
  <c r="N555" i="6"/>
  <c r="N545" i="6" s="1"/>
  <c r="M555" i="6"/>
  <c r="P549" i="6"/>
  <c r="N549" i="6"/>
  <c r="L549" i="6"/>
  <c r="L547" i="6" s="1"/>
  <c r="O547" i="6" s="1"/>
  <c r="P548" i="6"/>
  <c r="O548" i="6"/>
  <c r="N547" i="6"/>
  <c r="M547" i="6"/>
  <c r="P547" i="6" s="1"/>
  <c r="P546" i="6"/>
  <c r="N546" i="6"/>
  <c r="M546" i="6"/>
  <c r="O545" i="6"/>
  <c r="M545" i="6"/>
  <c r="L545" i="6"/>
  <c r="I542" i="6"/>
  <c r="K542" i="6" s="1"/>
  <c r="I541" i="6"/>
  <c r="K541" i="6" s="1"/>
  <c r="I540" i="6"/>
  <c r="K540" i="6" s="1"/>
  <c r="I539" i="6"/>
  <c r="K539" i="6" s="1"/>
  <c r="I538" i="6"/>
  <c r="I537" i="6"/>
  <c r="P535" i="6"/>
  <c r="L535" i="6"/>
  <c r="O535" i="6" s="1"/>
  <c r="P534" i="6"/>
  <c r="O534" i="6"/>
  <c r="P533" i="6"/>
  <c r="N533" i="6"/>
  <c r="M533" i="6"/>
  <c r="L533" i="6"/>
  <c r="O533" i="6" s="1"/>
  <c r="P528" i="6"/>
  <c r="N528" i="6"/>
  <c r="L528" i="6"/>
  <c r="P527" i="6"/>
  <c r="O527" i="6"/>
  <c r="N526" i="6"/>
  <c r="M526" i="6"/>
  <c r="P526" i="6" s="1"/>
  <c r="P525" i="6"/>
  <c r="N525" i="6"/>
  <c r="M525" i="6"/>
  <c r="O524" i="6"/>
  <c r="N524" i="6"/>
  <c r="N523" i="6" s="1"/>
  <c r="M524" i="6"/>
  <c r="P524" i="6" s="1"/>
  <c r="L524" i="6"/>
  <c r="P523" i="6"/>
  <c r="M523" i="6"/>
  <c r="K517" i="6"/>
  <c r="J517" i="6"/>
  <c r="J501" i="6" s="1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P506" i="6"/>
  <c r="O506" i="6"/>
  <c r="O505" i="6"/>
  <c r="N505" i="6"/>
  <c r="M505" i="6"/>
  <c r="P505" i="6" s="1"/>
  <c r="L505" i="6"/>
  <c r="P504" i="6"/>
  <c r="N504" i="6"/>
  <c r="M504" i="6"/>
  <c r="L504" i="6"/>
  <c r="O504" i="6" s="1"/>
  <c r="O503" i="6"/>
  <c r="N503" i="6"/>
  <c r="M503" i="6"/>
  <c r="M502" i="6" s="1"/>
  <c r="P502" i="6" s="1"/>
  <c r="L503" i="6"/>
  <c r="L502" i="6" s="1"/>
  <c r="O502" i="6" s="1"/>
  <c r="N502" i="6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P477" i="6"/>
  <c r="N477" i="6"/>
  <c r="M477" i="6"/>
  <c r="P472" i="6"/>
  <c r="N472" i="6"/>
  <c r="L472" i="6"/>
  <c r="L470" i="6" s="1"/>
  <c r="O470" i="6" s="1"/>
  <c r="P471" i="6"/>
  <c r="O471" i="6"/>
  <c r="N470" i="6"/>
  <c r="M470" i="6"/>
  <c r="P470" i="6" s="1"/>
  <c r="P469" i="6"/>
  <c r="M469" i="6"/>
  <c r="O468" i="6"/>
  <c r="N468" i="6"/>
  <c r="M468" i="6"/>
  <c r="M467" i="6" s="1"/>
  <c r="P467" i="6" s="1"/>
  <c r="L468" i="6"/>
  <c r="J466" i="6"/>
  <c r="I466" i="6"/>
  <c r="K466" i="6" s="1"/>
  <c r="J465" i="6"/>
  <c r="I465" i="6"/>
  <c r="K465" i="6" s="1"/>
  <c r="I464" i="6"/>
  <c r="I463" i="6"/>
  <c r="I462" i="6"/>
  <c r="K462" i="6" s="1"/>
  <c r="I460" i="6"/>
  <c r="K460" i="6" s="1"/>
  <c r="K458" i="6"/>
  <c r="P456" i="6"/>
  <c r="L456" i="6"/>
  <c r="P455" i="6"/>
  <c r="O455" i="6"/>
  <c r="N454" i="6"/>
  <c r="M454" i="6"/>
  <c r="P454" i="6" s="1"/>
  <c r="P449" i="6"/>
  <c r="N449" i="6"/>
  <c r="L449" i="6"/>
  <c r="O449" i="6" s="1"/>
  <c r="P448" i="6"/>
  <c r="O448" i="6"/>
  <c r="P447" i="6"/>
  <c r="N447" i="6"/>
  <c r="M447" i="6"/>
  <c r="N446" i="6"/>
  <c r="M446" i="6"/>
  <c r="P446" i="6" s="1"/>
  <c r="P445" i="6"/>
  <c r="N445" i="6"/>
  <c r="M445" i="6"/>
  <c r="M444" i="6" s="1"/>
  <c r="P444" i="6" s="1"/>
  <c r="L445" i="6"/>
  <c r="O445" i="6" s="1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I433" i="6" s="1"/>
  <c r="J434" i="6"/>
  <c r="P431" i="6"/>
  <c r="L431" i="6"/>
  <c r="P430" i="6"/>
  <c r="O430" i="6"/>
  <c r="N429" i="6"/>
  <c r="M429" i="6"/>
  <c r="P429" i="6" s="1"/>
  <c r="P424" i="6"/>
  <c r="N424" i="6"/>
  <c r="L424" i="6"/>
  <c r="O424" i="6" s="1"/>
  <c r="P423" i="6"/>
  <c r="O423" i="6"/>
  <c r="P422" i="6"/>
  <c r="N422" i="6"/>
  <c r="M422" i="6"/>
  <c r="N421" i="6"/>
  <c r="M421" i="6"/>
  <c r="P421" i="6" s="1"/>
  <c r="N420" i="6"/>
  <c r="M420" i="6"/>
  <c r="L420" i="6"/>
  <c r="O420" i="6" s="1"/>
  <c r="J418" i="6"/>
  <c r="K413" i="6"/>
  <c r="K412" i="6"/>
  <c r="N410" i="6"/>
  <c r="M410" i="6"/>
  <c r="P410" i="6" s="1"/>
  <c r="L410" i="6"/>
  <c r="L408" i="6" s="1"/>
  <c r="O408" i="6" s="1"/>
  <c r="P409" i="6"/>
  <c r="O409" i="6"/>
  <c r="N407" i="6"/>
  <c r="N405" i="6" s="1"/>
  <c r="M407" i="6"/>
  <c r="L407" i="6"/>
  <c r="O407" i="6" s="1"/>
  <c r="P406" i="6"/>
  <c r="O406" i="6"/>
  <c r="P403" i="6"/>
  <c r="N403" i="6"/>
  <c r="M403" i="6"/>
  <c r="L403" i="6"/>
  <c r="J401" i="6"/>
  <c r="I401" i="6"/>
  <c r="K401" i="6" s="1"/>
  <c r="K400" i="6"/>
  <c r="K399" i="6"/>
  <c r="N397" i="6"/>
  <c r="N395" i="6" s="1"/>
  <c r="M397" i="6"/>
  <c r="L397" i="6"/>
  <c r="O397" i="6" s="1"/>
  <c r="P396" i="6"/>
  <c r="O396" i="6"/>
  <c r="N394" i="6"/>
  <c r="M394" i="6"/>
  <c r="L394" i="6"/>
  <c r="P393" i="6"/>
  <c r="O393" i="6"/>
  <c r="P390" i="6"/>
  <c r="N390" i="6"/>
  <c r="M390" i="6"/>
  <c r="L390" i="6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L353" i="6"/>
  <c r="L351" i="6" s="1"/>
  <c r="P352" i="6"/>
  <c r="O352" i="6"/>
  <c r="N350" i="6"/>
  <c r="N348" i="6" s="1"/>
  <c r="M350" i="6"/>
  <c r="L350" i="6"/>
  <c r="L348" i="6" s="1"/>
  <c r="P349" i="6"/>
  <c r="O349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L336" i="6"/>
  <c r="O336" i="6" s="1"/>
  <c r="P335" i="6"/>
  <c r="O335" i="6"/>
  <c r="N333" i="6"/>
  <c r="M333" i="6"/>
  <c r="L333" i="6"/>
  <c r="P332" i="6"/>
  <c r="O332" i="6"/>
  <c r="N329" i="6"/>
  <c r="M329" i="6"/>
  <c r="L329" i="6"/>
  <c r="O329" i="6" s="1"/>
  <c r="I327" i="6"/>
  <c r="I325" i="6"/>
  <c r="K325" i="6" s="1"/>
  <c r="N323" i="6"/>
  <c r="N321" i="6" s="1"/>
  <c r="M323" i="6"/>
  <c r="P323" i="6" s="1"/>
  <c r="L323" i="6"/>
  <c r="P322" i="6"/>
  <c r="O322" i="6"/>
  <c r="N320" i="6"/>
  <c r="N318" i="6" s="1"/>
  <c r="M320" i="6"/>
  <c r="M318" i="6" s="1"/>
  <c r="P318" i="6" s="1"/>
  <c r="L320" i="6"/>
  <c r="O320" i="6" s="1"/>
  <c r="P319" i="6"/>
  <c r="O319" i="6"/>
  <c r="P316" i="6"/>
  <c r="O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P306" i="6" s="1"/>
  <c r="L306" i="6"/>
  <c r="O306" i="6" s="1"/>
  <c r="P305" i="6"/>
  <c r="O305" i="6"/>
  <c r="N303" i="6"/>
  <c r="M303" i="6"/>
  <c r="M301" i="6" s="1"/>
  <c r="L303" i="6"/>
  <c r="P302" i="6"/>
  <c r="O302" i="6"/>
  <c r="N299" i="6"/>
  <c r="M299" i="6"/>
  <c r="L299" i="6"/>
  <c r="O299" i="6" s="1"/>
  <c r="J297" i="6"/>
  <c r="I294" i="6"/>
  <c r="K294" i="6" s="1"/>
  <c r="I293" i="6"/>
  <c r="K293" i="6" s="1"/>
  <c r="I291" i="6"/>
  <c r="K291" i="6" s="1"/>
  <c r="I290" i="6"/>
  <c r="K290" i="6" s="1"/>
  <c r="I288" i="6"/>
  <c r="J288" i="6" s="1"/>
  <c r="J275" i="6" s="1"/>
  <c r="I287" i="6"/>
  <c r="K287" i="6" s="1"/>
  <c r="N285" i="6"/>
  <c r="N283" i="6" s="1"/>
  <c r="M285" i="6"/>
  <c r="L285" i="6"/>
  <c r="P284" i="6"/>
  <c r="O284" i="6"/>
  <c r="N282" i="6"/>
  <c r="N280" i="6" s="1"/>
  <c r="M282" i="6"/>
  <c r="M280" i="6" s="1"/>
  <c r="P280" i="6" s="1"/>
  <c r="L282" i="6"/>
  <c r="O282" i="6" s="1"/>
  <c r="P281" i="6"/>
  <c r="O281" i="6"/>
  <c r="P278" i="6"/>
  <c r="O278" i="6"/>
  <c r="N278" i="6"/>
  <c r="M278" i="6"/>
  <c r="L278" i="6"/>
  <c r="J276" i="6"/>
  <c r="I271" i="6"/>
  <c r="K271" i="6" s="1"/>
  <c r="N269" i="6"/>
  <c r="N267" i="6" s="1"/>
  <c r="M269" i="6"/>
  <c r="M267" i="6" s="1"/>
  <c r="P267" i="6" s="1"/>
  <c r="L269" i="6"/>
  <c r="L267" i="6" s="1"/>
  <c r="O267" i="6" s="1"/>
  <c r="P268" i="6"/>
  <c r="O268" i="6"/>
  <c r="N266" i="6"/>
  <c r="M266" i="6"/>
  <c r="L266" i="6"/>
  <c r="L264" i="6" s="1"/>
  <c r="P265" i="6"/>
  <c r="O265" i="6"/>
  <c r="O262" i="6"/>
  <c r="N262" i="6"/>
  <c r="M262" i="6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N227" i="6" s="1"/>
  <c r="J237" i="6"/>
  <c r="K236" i="6"/>
  <c r="J236" i="6"/>
  <c r="I236" i="6"/>
  <c r="K235" i="6"/>
  <c r="J235" i="6"/>
  <c r="I235" i="6"/>
  <c r="J233" i="6"/>
  <c r="N231" i="6"/>
  <c r="N230" i="6"/>
  <c r="N229" i="6"/>
  <c r="N228" i="6"/>
  <c r="J226" i="6"/>
  <c r="I225" i="6"/>
  <c r="K225" i="6" s="1"/>
  <c r="I224" i="6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I197" i="6" s="1"/>
  <c r="K197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P189" i="6" s="1"/>
  <c r="L189" i="6"/>
  <c r="O189" i="6" s="1"/>
  <c r="P188" i="6"/>
  <c r="O188" i="6"/>
  <c r="N186" i="6"/>
  <c r="N184" i="6" s="1"/>
  <c r="M186" i="6"/>
  <c r="L186" i="6"/>
  <c r="P185" i="6"/>
  <c r="O185" i="6"/>
  <c r="N182" i="6"/>
  <c r="M182" i="6"/>
  <c r="L182" i="6"/>
  <c r="O182" i="6" s="1"/>
  <c r="K180" i="6"/>
  <c r="J180" i="6"/>
  <c r="J177" i="6"/>
  <c r="J164" i="6" s="1"/>
  <c r="I176" i="6"/>
  <c r="I174" i="6" s="1"/>
  <c r="I164" i="6" s="1"/>
  <c r="J174" i="6"/>
  <c r="N173" i="6"/>
  <c r="N171" i="6" s="1"/>
  <c r="M173" i="6"/>
  <c r="L173" i="6"/>
  <c r="O173" i="6" s="1"/>
  <c r="P172" i="6"/>
  <c r="O172" i="6"/>
  <c r="N170" i="6"/>
  <c r="N168" i="6" s="1"/>
  <c r="M170" i="6"/>
  <c r="L170" i="6"/>
  <c r="L168" i="6" s="1"/>
  <c r="P169" i="6"/>
  <c r="O169" i="6"/>
  <c r="P166" i="6"/>
  <c r="N166" i="6"/>
  <c r="M166" i="6"/>
  <c r="L166" i="6"/>
  <c r="I159" i="6"/>
  <c r="K159" i="6" s="1"/>
  <c r="N157" i="6"/>
  <c r="N155" i="6" s="1"/>
  <c r="M157" i="6"/>
  <c r="L157" i="6"/>
  <c r="L155" i="6" s="1"/>
  <c r="O155" i="6" s="1"/>
  <c r="P156" i="6"/>
  <c r="O156" i="6"/>
  <c r="N154" i="6"/>
  <c r="M154" i="6"/>
  <c r="M152" i="6" s="1"/>
  <c r="L154" i="6"/>
  <c r="L152" i="6" s="1"/>
  <c r="P153" i="6"/>
  <c r="O153" i="6"/>
  <c r="N150" i="6"/>
  <c r="M150" i="6"/>
  <c r="P150" i="6" s="1"/>
  <c r="L150" i="6"/>
  <c r="J148" i="6"/>
  <c r="I146" i="6"/>
  <c r="I145" i="6"/>
  <c r="K145" i="6" s="1"/>
  <c r="I144" i="6"/>
  <c r="K144" i="6" s="1"/>
  <c r="N140" i="6"/>
  <c r="N138" i="6" s="1"/>
  <c r="M140" i="6"/>
  <c r="P140" i="6" s="1"/>
  <c r="L140" i="6"/>
  <c r="P139" i="6"/>
  <c r="O139" i="6"/>
  <c r="N137" i="6"/>
  <c r="N135" i="6" s="1"/>
  <c r="M137" i="6"/>
  <c r="L137" i="6"/>
  <c r="P136" i="6"/>
  <c r="O136" i="6"/>
  <c r="P133" i="6"/>
  <c r="O133" i="6"/>
  <c r="N133" i="6"/>
  <c r="M133" i="6"/>
  <c r="L133" i="6"/>
  <c r="J130" i="6"/>
  <c r="N127" i="6"/>
  <c r="N125" i="6" s="1"/>
  <c r="M127" i="6"/>
  <c r="P127" i="6" s="1"/>
  <c r="L127" i="6"/>
  <c r="L125" i="6" s="1"/>
  <c r="O125" i="6" s="1"/>
  <c r="P126" i="6"/>
  <c r="O126" i="6"/>
  <c r="N124" i="6"/>
  <c r="N122" i="6" s="1"/>
  <c r="M124" i="6"/>
  <c r="L124" i="6"/>
  <c r="L122" i="6" s="1"/>
  <c r="O122" i="6" s="1"/>
  <c r="P123" i="6"/>
  <c r="O123" i="6"/>
  <c r="N120" i="6"/>
  <c r="M120" i="6"/>
  <c r="P120" i="6" s="1"/>
  <c r="L120" i="6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J86" i="6" s="1"/>
  <c r="I98" i="6"/>
  <c r="N96" i="6"/>
  <c r="N94" i="6" s="1"/>
  <c r="M96" i="6"/>
  <c r="M94" i="6" s="1"/>
  <c r="P94" i="6" s="1"/>
  <c r="L96" i="6"/>
  <c r="O96" i="6" s="1"/>
  <c r="P95" i="6"/>
  <c r="O95" i="6"/>
  <c r="N93" i="6"/>
  <c r="M93" i="6"/>
  <c r="M91" i="6" s="1"/>
  <c r="L93" i="6"/>
  <c r="L91" i="6" s="1"/>
  <c r="P92" i="6"/>
  <c r="O92" i="6"/>
  <c r="P89" i="6"/>
  <c r="O89" i="6"/>
  <c r="N89" i="6"/>
  <c r="M89" i="6"/>
  <c r="L89" i="6"/>
  <c r="J87" i="6"/>
  <c r="I84" i="6"/>
  <c r="K84" i="6" s="1"/>
  <c r="I83" i="6"/>
  <c r="K83" i="6" s="1"/>
  <c r="I82" i="6"/>
  <c r="K82" i="6" s="1"/>
  <c r="I81" i="6"/>
  <c r="I80" i="6"/>
  <c r="I79" i="6"/>
  <c r="K79" i="6" s="1"/>
  <c r="I78" i="6"/>
  <c r="K78" i="6" s="1"/>
  <c r="J77" i="6"/>
  <c r="J65" i="6" s="1"/>
  <c r="J76" i="6"/>
  <c r="J64" i="6" s="1"/>
  <c r="N74" i="6"/>
  <c r="M74" i="6"/>
  <c r="P74" i="6" s="1"/>
  <c r="L74" i="6"/>
  <c r="L72" i="6" s="1"/>
  <c r="O72" i="6" s="1"/>
  <c r="P73" i="6"/>
  <c r="O73" i="6"/>
  <c r="N71" i="6"/>
  <c r="N69" i="6" s="1"/>
  <c r="M71" i="6"/>
  <c r="L71" i="6"/>
  <c r="L69" i="6" s="1"/>
  <c r="P70" i="6"/>
  <c r="O70" i="6"/>
  <c r="P67" i="6"/>
  <c r="O67" i="6"/>
  <c r="N67" i="6"/>
  <c r="M67" i="6"/>
  <c r="L67" i="6"/>
  <c r="N61" i="6"/>
  <c r="M61" i="6"/>
  <c r="L61" i="6"/>
  <c r="L59" i="6" s="1"/>
  <c r="P60" i="6"/>
  <c r="O60" i="6"/>
  <c r="N58" i="6"/>
  <c r="N56" i="6" s="1"/>
  <c r="M58" i="6"/>
  <c r="M56" i="6" s="1"/>
  <c r="L58" i="6"/>
  <c r="L56" i="6" s="1"/>
  <c r="P57" i="6"/>
  <c r="O57" i="6"/>
  <c r="N54" i="6"/>
  <c r="M54" i="6"/>
  <c r="P54" i="6" s="1"/>
  <c r="L54" i="6"/>
  <c r="N49" i="6"/>
  <c r="M49" i="6"/>
  <c r="M47" i="6" s="1"/>
  <c r="P47" i="6" s="1"/>
  <c r="L49" i="6"/>
  <c r="L47" i="6" s="1"/>
  <c r="O47" i="6" s="1"/>
  <c r="P48" i="6"/>
  <c r="O48" i="6"/>
  <c r="N46" i="6"/>
  <c r="N44" i="6" s="1"/>
  <c r="M46" i="6"/>
  <c r="M44" i="6" s="1"/>
  <c r="L46" i="6"/>
  <c r="L44" i="6" s="1"/>
  <c r="P45" i="6"/>
  <c r="O45" i="6"/>
  <c r="O42" i="6"/>
  <c r="N42" i="6"/>
  <c r="M42" i="6"/>
  <c r="P42" i="6" s="1"/>
  <c r="L42" i="6"/>
  <c r="N36" i="6"/>
  <c r="M36" i="6"/>
  <c r="P36" i="6" s="1"/>
  <c r="N35" i="6"/>
  <c r="M35" i="6"/>
  <c r="P35" i="6" s="1"/>
  <c r="L35" i="6"/>
  <c r="O35" i="6" s="1"/>
  <c r="N34" i="6"/>
  <c r="N33" i="6"/>
  <c r="M33" i="6"/>
  <c r="P33" i="6" s="1"/>
  <c r="P32" i="6"/>
  <c r="N32" i="6"/>
  <c r="N29" i="6" s="1"/>
  <c r="N28" i="6" s="1"/>
  <c r="M32" i="6"/>
  <c r="L32" i="6"/>
  <c r="M31" i="6"/>
  <c r="P31" i="6" s="1"/>
  <c r="N30" i="6"/>
  <c r="M29" i="6"/>
  <c r="P29" i="6" s="1"/>
  <c r="P25" i="6"/>
  <c r="N25" i="6"/>
  <c r="N15" i="6" s="1"/>
  <c r="M25" i="6"/>
  <c r="L25" i="6"/>
  <c r="O22" i="6"/>
  <c r="N22" i="6"/>
  <c r="M22" i="6"/>
  <c r="P22" i="6" s="1"/>
  <c r="L22" i="6"/>
  <c r="N19" i="6"/>
  <c r="L19" i="6"/>
  <c r="M15" i="6"/>
  <c r="P15" i="6" s="1"/>
  <c r="N12" i="6"/>
  <c r="N9" i="6" s="1"/>
  <c r="L12" i="6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K824" i="5" s="1"/>
  <c r="J823" i="5"/>
  <c r="I823" i="5"/>
  <c r="K823" i="5" s="1"/>
  <c r="J822" i="5"/>
  <c r="I822" i="5"/>
  <c r="J821" i="5"/>
  <c r="I821" i="5"/>
  <c r="P817" i="5"/>
  <c r="O817" i="5"/>
  <c r="P816" i="5"/>
  <c r="O816" i="5"/>
  <c r="N815" i="5"/>
  <c r="M815" i="5"/>
  <c r="P815" i="5" s="1"/>
  <c r="L815" i="5"/>
  <c r="O815" i="5" s="1"/>
  <c r="P810" i="5"/>
  <c r="O810" i="5"/>
  <c r="N810" i="5"/>
  <c r="P809" i="5"/>
  <c r="O809" i="5"/>
  <c r="M808" i="5"/>
  <c r="P808" i="5" s="1"/>
  <c r="L808" i="5"/>
  <c r="O808" i="5" s="1"/>
  <c r="M807" i="5"/>
  <c r="M805" i="5" s="1"/>
  <c r="P805" i="5" s="1"/>
  <c r="L807" i="5"/>
  <c r="N806" i="5"/>
  <c r="M806" i="5"/>
  <c r="P806" i="5" s="1"/>
  <c r="L806" i="5"/>
  <c r="O806" i="5" s="1"/>
  <c r="K804" i="5"/>
  <c r="J804" i="5"/>
  <c r="K802" i="5"/>
  <c r="J801" i="5"/>
  <c r="J800" i="5"/>
  <c r="J785" i="5" s="1"/>
  <c r="I800" i="5"/>
  <c r="P798" i="5"/>
  <c r="O798" i="5"/>
  <c r="P797" i="5"/>
  <c r="O797" i="5"/>
  <c r="N796" i="5"/>
  <c r="M796" i="5"/>
  <c r="P796" i="5" s="1"/>
  <c r="L796" i="5"/>
  <c r="O796" i="5" s="1"/>
  <c r="P791" i="5"/>
  <c r="N791" i="5"/>
  <c r="N788" i="5" s="1"/>
  <c r="L791" i="5"/>
  <c r="P790" i="5"/>
  <c r="O790" i="5"/>
  <c r="M789" i="5"/>
  <c r="P789" i="5" s="1"/>
  <c r="M788" i="5"/>
  <c r="P788" i="5" s="1"/>
  <c r="N787" i="5"/>
  <c r="M787" i="5"/>
  <c r="P787" i="5" s="1"/>
  <c r="L787" i="5"/>
  <c r="O787" i="5" s="1"/>
  <c r="P782" i="5"/>
  <c r="O782" i="5"/>
  <c r="P781" i="5"/>
  <c r="O781" i="5"/>
  <c r="N780" i="5"/>
  <c r="M780" i="5"/>
  <c r="P780" i="5" s="1"/>
  <c r="L780" i="5"/>
  <c r="O780" i="5" s="1"/>
  <c r="P775" i="5"/>
  <c r="O775" i="5"/>
  <c r="N775" i="5"/>
  <c r="N772" i="5" s="1"/>
  <c r="P774" i="5"/>
  <c r="O774" i="5"/>
  <c r="M773" i="5"/>
  <c r="P773" i="5" s="1"/>
  <c r="L773" i="5"/>
  <c r="O773" i="5" s="1"/>
  <c r="M772" i="5"/>
  <c r="L772" i="5"/>
  <c r="O772" i="5" s="1"/>
  <c r="N771" i="5"/>
  <c r="M771" i="5"/>
  <c r="P771" i="5" s="1"/>
  <c r="L771" i="5"/>
  <c r="K769" i="5"/>
  <c r="J769" i="5"/>
  <c r="P766" i="5"/>
  <c r="O766" i="5"/>
  <c r="P765" i="5"/>
  <c r="O765" i="5"/>
  <c r="N764" i="5"/>
  <c r="M764" i="5"/>
  <c r="P764" i="5" s="1"/>
  <c r="L764" i="5"/>
  <c r="O764" i="5" s="1"/>
  <c r="P759" i="5"/>
  <c r="O759" i="5"/>
  <c r="N759" i="5"/>
  <c r="N756" i="5" s="1"/>
  <c r="P758" i="5"/>
  <c r="O758" i="5"/>
  <c r="P757" i="5"/>
  <c r="M757" i="5"/>
  <c r="L757" i="5"/>
  <c r="O757" i="5" s="1"/>
  <c r="M756" i="5"/>
  <c r="L756" i="5"/>
  <c r="O756" i="5" s="1"/>
  <c r="P755" i="5"/>
  <c r="N755" i="5"/>
  <c r="M755" i="5"/>
  <c r="L755" i="5"/>
  <c r="K753" i="5"/>
  <c r="J753" i="5"/>
  <c r="P749" i="5"/>
  <c r="O749" i="5"/>
  <c r="P748" i="5"/>
  <c r="O748" i="5"/>
  <c r="N747" i="5"/>
  <c r="M747" i="5"/>
  <c r="P747" i="5" s="1"/>
  <c r="L747" i="5"/>
  <c r="O747" i="5" s="1"/>
  <c r="P742" i="5"/>
  <c r="O742" i="5"/>
  <c r="N742" i="5"/>
  <c r="N739" i="5" s="1"/>
  <c r="P741" i="5"/>
  <c r="O741" i="5"/>
  <c r="M740" i="5"/>
  <c r="P740" i="5" s="1"/>
  <c r="L740" i="5"/>
  <c r="O740" i="5" s="1"/>
  <c r="M739" i="5"/>
  <c r="L739" i="5"/>
  <c r="O739" i="5" s="1"/>
  <c r="N738" i="5"/>
  <c r="M738" i="5"/>
  <c r="P738" i="5" s="1"/>
  <c r="L738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N695" i="5"/>
  <c r="M695" i="5"/>
  <c r="P695" i="5" s="1"/>
  <c r="L695" i="5"/>
  <c r="O695" i="5" s="1"/>
  <c r="P690" i="5"/>
  <c r="N690" i="5"/>
  <c r="N688" i="5" s="1"/>
  <c r="L688" i="5"/>
  <c r="O688" i="5" s="1"/>
  <c r="M688" i="5"/>
  <c r="P688" i="5" s="1"/>
  <c r="M687" i="5"/>
  <c r="P687" i="5" s="1"/>
  <c r="N686" i="5"/>
  <c r="M686" i="5"/>
  <c r="P686" i="5" s="1"/>
  <c r="L686" i="5"/>
  <c r="O686" i="5" s="1"/>
  <c r="M685" i="5"/>
  <c r="P685" i="5" s="1"/>
  <c r="J679" i="5"/>
  <c r="J678" i="5" s="1"/>
  <c r="I678" i="5"/>
  <c r="K678" i="5" s="1"/>
  <c r="J675" i="5"/>
  <c r="J669" i="5" s="1"/>
  <c r="J654" i="5" s="1"/>
  <c r="I671" i="5"/>
  <c r="K671" i="5" s="1"/>
  <c r="I670" i="5"/>
  <c r="K670" i="5" s="1"/>
  <c r="I669" i="5"/>
  <c r="K672" i="5" s="1"/>
  <c r="P667" i="5"/>
  <c r="O667" i="5"/>
  <c r="P666" i="5"/>
  <c r="O666" i="5"/>
  <c r="N665" i="5"/>
  <c r="M665" i="5"/>
  <c r="P665" i="5" s="1"/>
  <c r="L665" i="5"/>
  <c r="O665" i="5" s="1"/>
  <c r="P660" i="5"/>
  <c r="N660" i="5"/>
  <c r="N657" i="5" s="1"/>
  <c r="P659" i="5"/>
  <c r="O659" i="5"/>
  <c r="M658" i="5"/>
  <c r="P658" i="5" s="1"/>
  <c r="M657" i="5"/>
  <c r="P657" i="5" s="1"/>
  <c r="N656" i="5"/>
  <c r="M656" i="5"/>
  <c r="L656" i="5"/>
  <c r="K652" i="5"/>
  <c r="J652" i="5"/>
  <c r="J651" i="5"/>
  <c r="J628" i="5" s="1"/>
  <c r="I651" i="5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P634" i="5"/>
  <c r="N634" i="5"/>
  <c r="L634" i="5"/>
  <c r="O634" i="5" s="1"/>
  <c r="P633" i="5"/>
  <c r="O633" i="5"/>
  <c r="P632" i="5"/>
  <c r="N632" i="5"/>
  <c r="M632" i="5"/>
  <c r="N631" i="5"/>
  <c r="M631" i="5"/>
  <c r="P631" i="5" s="1"/>
  <c r="P630" i="5"/>
  <c r="N630" i="5"/>
  <c r="N629" i="5" s="1"/>
  <c r="M630" i="5"/>
  <c r="M629" i="5" s="1"/>
  <c r="P629" i="5" s="1"/>
  <c r="L630" i="5"/>
  <c r="O630" i="5" s="1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5" i="5"/>
  <c r="J594" i="5"/>
  <c r="I594" i="5"/>
  <c r="K594" i="5" s="1"/>
  <c r="J593" i="5"/>
  <c r="I593" i="5"/>
  <c r="I592" i="5" s="1"/>
  <c r="K592" i="5" s="1"/>
  <c r="J592" i="5"/>
  <c r="J583" i="5"/>
  <c r="J577" i="5" s="1"/>
  <c r="J582" i="5"/>
  <c r="J576" i="5" s="1"/>
  <c r="J559" i="5" s="1"/>
  <c r="J543" i="5" s="1"/>
  <c r="I577" i="5"/>
  <c r="K577" i="5" s="1"/>
  <c r="I576" i="5"/>
  <c r="K576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P557" i="5"/>
  <c r="L557" i="5"/>
  <c r="O557" i="5" s="1"/>
  <c r="P556" i="5"/>
  <c r="O556" i="5"/>
  <c r="P555" i="5"/>
  <c r="N555" i="5"/>
  <c r="N545" i="5" s="1"/>
  <c r="M555" i="5"/>
  <c r="P549" i="5"/>
  <c r="N549" i="5"/>
  <c r="L549" i="5"/>
  <c r="O549" i="5" s="1"/>
  <c r="P548" i="5"/>
  <c r="O548" i="5"/>
  <c r="N547" i="5"/>
  <c r="M547" i="5"/>
  <c r="P547" i="5" s="1"/>
  <c r="P546" i="5"/>
  <c r="N546" i="5"/>
  <c r="M546" i="5"/>
  <c r="O545" i="5"/>
  <c r="M545" i="5"/>
  <c r="L545" i="5"/>
  <c r="I542" i="5"/>
  <c r="K542" i="5" s="1"/>
  <c r="I541" i="5"/>
  <c r="K541" i="5" s="1"/>
  <c r="I540" i="5"/>
  <c r="K540" i="5" s="1"/>
  <c r="I539" i="5"/>
  <c r="K539" i="5" s="1"/>
  <c r="I538" i="5"/>
  <c r="I537" i="5"/>
  <c r="I522" i="5" s="1"/>
  <c r="P535" i="5"/>
  <c r="L535" i="5"/>
  <c r="O535" i="5" s="1"/>
  <c r="P534" i="5"/>
  <c r="O534" i="5"/>
  <c r="P533" i="5"/>
  <c r="N533" i="5"/>
  <c r="M533" i="5"/>
  <c r="P528" i="5"/>
  <c r="N528" i="5"/>
  <c r="L528" i="5"/>
  <c r="P527" i="5"/>
  <c r="O527" i="5"/>
  <c r="N526" i="5"/>
  <c r="M526" i="5"/>
  <c r="P526" i="5" s="1"/>
  <c r="P525" i="5"/>
  <c r="N525" i="5"/>
  <c r="M525" i="5"/>
  <c r="O524" i="5"/>
  <c r="N524" i="5"/>
  <c r="N523" i="5" s="1"/>
  <c r="M524" i="5"/>
  <c r="P524" i="5" s="1"/>
  <c r="L524" i="5"/>
  <c r="P523" i="5"/>
  <c r="M523" i="5"/>
  <c r="K517" i="5"/>
  <c r="J517" i="5"/>
  <c r="J501" i="5" s="1"/>
  <c r="K516" i="5"/>
  <c r="P514" i="5"/>
  <c r="O514" i="5"/>
  <c r="P513" i="5"/>
  <c r="O513" i="5"/>
  <c r="O512" i="5"/>
  <c r="N512" i="5"/>
  <c r="M512" i="5"/>
  <c r="P512" i="5" s="1"/>
  <c r="L512" i="5"/>
  <c r="P507" i="5"/>
  <c r="O507" i="5"/>
  <c r="N507" i="5"/>
  <c r="P506" i="5"/>
  <c r="O506" i="5"/>
  <c r="O505" i="5"/>
  <c r="N505" i="5"/>
  <c r="M505" i="5"/>
  <c r="P505" i="5" s="1"/>
  <c r="L505" i="5"/>
  <c r="P504" i="5"/>
  <c r="N504" i="5"/>
  <c r="M504" i="5"/>
  <c r="L504" i="5"/>
  <c r="O504" i="5" s="1"/>
  <c r="O503" i="5"/>
  <c r="N503" i="5"/>
  <c r="M503" i="5"/>
  <c r="P503" i="5" s="1"/>
  <c r="L503" i="5"/>
  <c r="L502" i="5" s="1"/>
  <c r="O502" i="5" s="1"/>
  <c r="N502" i="5"/>
  <c r="M502" i="5"/>
  <c r="P502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P477" i="5"/>
  <c r="N477" i="5"/>
  <c r="M477" i="5"/>
  <c r="P472" i="5"/>
  <c r="N472" i="5"/>
  <c r="L472" i="5"/>
  <c r="L470" i="5" s="1"/>
  <c r="O470" i="5" s="1"/>
  <c r="P471" i="5"/>
  <c r="O471" i="5"/>
  <c r="P470" i="5"/>
  <c r="N470" i="5"/>
  <c r="M470" i="5"/>
  <c r="P469" i="5"/>
  <c r="M469" i="5"/>
  <c r="O468" i="5"/>
  <c r="N468" i="5"/>
  <c r="M468" i="5"/>
  <c r="P468" i="5" s="1"/>
  <c r="L468" i="5"/>
  <c r="M467" i="5"/>
  <c r="P467" i="5" s="1"/>
  <c r="J466" i="5"/>
  <c r="I466" i="5"/>
  <c r="K466" i="5" s="1"/>
  <c r="J465" i="5"/>
  <c r="I465" i="5"/>
  <c r="I464" i="5"/>
  <c r="I463" i="5"/>
  <c r="I462" i="5"/>
  <c r="K462" i="5" s="1"/>
  <c r="I460" i="5"/>
  <c r="I442" i="5" s="1"/>
  <c r="K442" i="5" s="1"/>
  <c r="K458" i="5"/>
  <c r="P456" i="5"/>
  <c r="L456" i="5"/>
  <c r="L454" i="5" s="1"/>
  <c r="O454" i="5" s="1"/>
  <c r="P455" i="5"/>
  <c r="O455" i="5"/>
  <c r="N454" i="5"/>
  <c r="M454" i="5"/>
  <c r="P454" i="5" s="1"/>
  <c r="P449" i="5"/>
  <c r="N449" i="5"/>
  <c r="L449" i="5"/>
  <c r="O449" i="5" s="1"/>
  <c r="P448" i="5"/>
  <c r="O448" i="5"/>
  <c r="P447" i="5"/>
  <c r="N447" i="5"/>
  <c r="M447" i="5"/>
  <c r="P446" i="5"/>
  <c r="N446" i="5"/>
  <c r="M446" i="5"/>
  <c r="P445" i="5"/>
  <c r="O445" i="5"/>
  <c r="N445" i="5"/>
  <c r="M445" i="5"/>
  <c r="M444" i="5" s="1"/>
  <c r="P444" i="5" s="1"/>
  <c r="L445" i="5"/>
  <c r="N444" i="5"/>
  <c r="J443" i="5"/>
  <c r="J442" i="5"/>
  <c r="I441" i="5"/>
  <c r="K441" i="5" s="1"/>
  <c r="I440" i="5"/>
  <c r="I439" i="5"/>
  <c r="K439" i="5" s="1"/>
  <c r="I438" i="5"/>
  <c r="K438" i="5" s="1"/>
  <c r="I437" i="5"/>
  <c r="K437" i="5" s="1"/>
  <c r="I435" i="5"/>
  <c r="K435" i="5" s="1"/>
  <c r="J434" i="5"/>
  <c r="P431" i="5"/>
  <c r="L431" i="5"/>
  <c r="P430" i="5"/>
  <c r="O430" i="5"/>
  <c r="N429" i="5"/>
  <c r="M429" i="5"/>
  <c r="P429" i="5" s="1"/>
  <c r="P424" i="5"/>
  <c r="N424" i="5"/>
  <c r="L424" i="5"/>
  <c r="O424" i="5" s="1"/>
  <c r="P423" i="5"/>
  <c r="O423" i="5"/>
  <c r="P422" i="5"/>
  <c r="N422" i="5"/>
  <c r="M422" i="5"/>
  <c r="P421" i="5"/>
  <c r="N421" i="5"/>
  <c r="M421" i="5"/>
  <c r="P420" i="5"/>
  <c r="O420" i="5"/>
  <c r="N420" i="5"/>
  <c r="M420" i="5"/>
  <c r="M419" i="5" s="1"/>
  <c r="P419" i="5" s="1"/>
  <c r="L420" i="5"/>
  <c r="N419" i="5"/>
  <c r="J418" i="5"/>
  <c r="K413" i="5"/>
  <c r="K412" i="5"/>
  <c r="N410" i="5"/>
  <c r="N408" i="5" s="1"/>
  <c r="M410" i="5"/>
  <c r="P410" i="5" s="1"/>
  <c r="L410" i="5"/>
  <c r="P409" i="5"/>
  <c r="O409" i="5"/>
  <c r="N407" i="5"/>
  <c r="N405" i="5" s="1"/>
  <c r="M407" i="5"/>
  <c r="L407" i="5"/>
  <c r="L405" i="5" s="1"/>
  <c r="O405" i="5" s="1"/>
  <c r="P406" i="5"/>
  <c r="O406" i="5"/>
  <c r="N403" i="5"/>
  <c r="M403" i="5"/>
  <c r="P403" i="5" s="1"/>
  <c r="L403" i="5"/>
  <c r="O403" i="5" s="1"/>
  <c r="K401" i="5"/>
  <c r="J401" i="5"/>
  <c r="I401" i="5"/>
  <c r="K400" i="5"/>
  <c r="K399" i="5"/>
  <c r="N397" i="5"/>
  <c r="N395" i="5" s="1"/>
  <c r="M397" i="5"/>
  <c r="M395" i="5" s="1"/>
  <c r="P395" i="5" s="1"/>
  <c r="L397" i="5"/>
  <c r="O397" i="5" s="1"/>
  <c r="P396" i="5"/>
  <c r="O396" i="5"/>
  <c r="N394" i="5"/>
  <c r="M394" i="5"/>
  <c r="M392" i="5" s="1"/>
  <c r="P392" i="5" s="1"/>
  <c r="L394" i="5"/>
  <c r="O394" i="5" s="1"/>
  <c r="P393" i="5"/>
  <c r="O393" i="5"/>
  <c r="P390" i="5"/>
  <c r="O390" i="5"/>
  <c r="N390" i="5"/>
  <c r="M390" i="5"/>
  <c r="L390" i="5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M353" i="5"/>
  <c r="M351" i="5" s="1"/>
  <c r="L353" i="5"/>
  <c r="L351" i="5" s="1"/>
  <c r="P352" i="5"/>
  <c r="O352" i="5"/>
  <c r="N350" i="5"/>
  <c r="M350" i="5"/>
  <c r="M348" i="5" s="1"/>
  <c r="L350" i="5"/>
  <c r="P349" i="5"/>
  <c r="O349" i="5"/>
  <c r="P346" i="5"/>
  <c r="O346" i="5"/>
  <c r="N346" i="5"/>
  <c r="M346" i="5"/>
  <c r="L346" i="5"/>
  <c r="J343" i="5"/>
  <c r="J342" i="5"/>
  <c r="J341" i="5"/>
  <c r="J340" i="5"/>
  <c r="I340" i="5"/>
  <c r="J338" i="5"/>
  <c r="I338" i="5"/>
  <c r="N336" i="5"/>
  <c r="M336" i="5"/>
  <c r="M334" i="5" s="1"/>
  <c r="L336" i="5"/>
  <c r="L334" i="5" s="1"/>
  <c r="P335" i="5"/>
  <c r="O335" i="5"/>
  <c r="N333" i="5"/>
  <c r="M333" i="5"/>
  <c r="L333" i="5"/>
  <c r="L331" i="5" s="1"/>
  <c r="P332" i="5"/>
  <c r="O332" i="5"/>
  <c r="P329" i="5"/>
  <c r="O329" i="5"/>
  <c r="N329" i="5"/>
  <c r="M329" i="5"/>
  <c r="L329" i="5"/>
  <c r="I327" i="5"/>
  <c r="I325" i="5"/>
  <c r="N323" i="5"/>
  <c r="N321" i="5" s="1"/>
  <c r="M323" i="5"/>
  <c r="L323" i="5"/>
  <c r="P322" i="5"/>
  <c r="O322" i="5"/>
  <c r="N320" i="5"/>
  <c r="N318" i="5" s="1"/>
  <c r="M320" i="5"/>
  <c r="L320" i="5"/>
  <c r="P319" i="5"/>
  <c r="O319" i="5"/>
  <c r="P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I297" i="5" s="1"/>
  <c r="K297" i="5" s="1"/>
  <c r="N306" i="5"/>
  <c r="M306" i="5"/>
  <c r="P306" i="5" s="1"/>
  <c r="L306" i="5"/>
  <c r="O306" i="5" s="1"/>
  <c r="P305" i="5"/>
  <c r="O305" i="5"/>
  <c r="N303" i="5"/>
  <c r="N301" i="5" s="1"/>
  <c r="M303" i="5"/>
  <c r="M301" i="5" s="1"/>
  <c r="L303" i="5"/>
  <c r="P302" i="5"/>
  <c r="O302" i="5"/>
  <c r="N299" i="5"/>
  <c r="M299" i="5"/>
  <c r="P299" i="5" s="1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P285" i="5" s="1"/>
  <c r="L285" i="5"/>
  <c r="L283" i="5" s="1"/>
  <c r="O283" i="5" s="1"/>
  <c r="P284" i="5"/>
  <c r="O284" i="5"/>
  <c r="N282" i="5"/>
  <c r="N280" i="5" s="1"/>
  <c r="M282" i="5"/>
  <c r="M280" i="5" s="1"/>
  <c r="L282" i="5"/>
  <c r="L280" i="5" s="1"/>
  <c r="P281" i="5"/>
  <c r="O281" i="5"/>
  <c r="O278" i="5"/>
  <c r="N278" i="5"/>
  <c r="M278" i="5"/>
  <c r="P278" i="5" s="1"/>
  <c r="L278" i="5"/>
  <c r="J276" i="5"/>
  <c r="I271" i="5"/>
  <c r="K271" i="5" s="1"/>
  <c r="N269" i="5"/>
  <c r="N267" i="5" s="1"/>
  <c r="M269" i="5"/>
  <c r="L269" i="5"/>
  <c r="L267" i="5" s="1"/>
  <c r="O267" i="5" s="1"/>
  <c r="P268" i="5"/>
  <c r="O268" i="5"/>
  <c r="N266" i="5"/>
  <c r="M266" i="5"/>
  <c r="L266" i="5"/>
  <c r="L264" i="5" s="1"/>
  <c r="P265" i="5"/>
  <c r="O265" i="5"/>
  <c r="N262" i="5"/>
  <c r="M262" i="5"/>
  <c r="P262" i="5" s="1"/>
  <c r="L262" i="5"/>
  <c r="O262" i="5" s="1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J226" i="5" s="1"/>
  <c r="J180" i="5" s="1"/>
  <c r="K247" i="5"/>
  <c r="K246" i="5"/>
  <c r="I244" i="5"/>
  <c r="L242" i="5"/>
  <c r="L241" i="5"/>
  <c r="L240" i="5"/>
  <c r="L239" i="5"/>
  <c r="P238" i="5"/>
  <c r="N238" i="5"/>
  <c r="N227" i="5" s="1"/>
  <c r="J237" i="5"/>
  <c r="J236" i="5"/>
  <c r="I236" i="5"/>
  <c r="K236" i="5" s="1"/>
  <c r="K235" i="5"/>
  <c r="J235" i="5"/>
  <c r="I235" i="5"/>
  <c r="J233" i="5"/>
  <c r="N231" i="5"/>
  <c r="N230" i="5"/>
  <c r="N229" i="5"/>
  <c r="N228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L189" i="5"/>
  <c r="O189" i="5" s="1"/>
  <c r="P188" i="5"/>
  <c r="O188" i="5"/>
  <c r="N186" i="5"/>
  <c r="M186" i="5"/>
  <c r="L186" i="5"/>
  <c r="L184" i="5" s="1"/>
  <c r="P185" i="5"/>
  <c r="O185" i="5"/>
  <c r="P182" i="5"/>
  <c r="N182" i="5"/>
  <c r="M182" i="5"/>
  <c r="L182" i="5"/>
  <c r="K180" i="5"/>
  <c r="J177" i="5"/>
  <c r="I176" i="5"/>
  <c r="I174" i="5" s="1"/>
  <c r="K174" i="5" s="1"/>
  <c r="J174" i="5"/>
  <c r="N173" i="5"/>
  <c r="N171" i="5" s="1"/>
  <c r="M173" i="5"/>
  <c r="L173" i="5"/>
  <c r="O173" i="5" s="1"/>
  <c r="P172" i="5"/>
  <c r="O172" i="5"/>
  <c r="N170" i="5"/>
  <c r="N168" i="5" s="1"/>
  <c r="M170" i="5"/>
  <c r="P170" i="5" s="1"/>
  <c r="L170" i="5"/>
  <c r="P169" i="5"/>
  <c r="O169" i="5"/>
  <c r="P166" i="5"/>
  <c r="O166" i="5"/>
  <c r="N166" i="5"/>
  <c r="M166" i="5"/>
  <c r="L166" i="5"/>
  <c r="J164" i="5"/>
  <c r="I159" i="5"/>
  <c r="N157" i="5"/>
  <c r="N155" i="5" s="1"/>
  <c r="M157" i="5"/>
  <c r="P157" i="5" s="1"/>
  <c r="L157" i="5"/>
  <c r="P156" i="5"/>
  <c r="O156" i="5"/>
  <c r="N154" i="5"/>
  <c r="M154" i="5"/>
  <c r="P154" i="5" s="1"/>
  <c r="L154" i="5"/>
  <c r="P153" i="5"/>
  <c r="O153" i="5"/>
  <c r="N150" i="5"/>
  <c r="M150" i="5"/>
  <c r="L150" i="5"/>
  <c r="O150" i="5" s="1"/>
  <c r="J148" i="5"/>
  <c r="I146" i="5"/>
  <c r="K146" i="5" s="1"/>
  <c r="I145" i="5"/>
  <c r="I143" i="5" s="1"/>
  <c r="I144" i="5"/>
  <c r="N140" i="5"/>
  <c r="N138" i="5" s="1"/>
  <c r="M140" i="5"/>
  <c r="P140" i="5" s="1"/>
  <c r="L140" i="5"/>
  <c r="O140" i="5" s="1"/>
  <c r="P139" i="5"/>
  <c r="O139" i="5"/>
  <c r="N137" i="5"/>
  <c r="M137" i="5"/>
  <c r="P137" i="5" s="1"/>
  <c r="L137" i="5"/>
  <c r="O137" i="5" s="1"/>
  <c r="P136" i="5"/>
  <c r="O136" i="5"/>
  <c r="P133" i="5"/>
  <c r="O133" i="5"/>
  <c r="N133" i="5"/>
  <c r="M133" i="5"/>
  <c r="L133" i="5"/>
  <c r="J130" i="5"/>
  <c r="N127" i="5"/>
  <c r="N125" i="5" s="1"/>
  <c r="M127" i="5"/>
  <c r="P127" i="5" s="1"/>
  <c r="L127" i="5"/>
  <c r="P126" i="5"/>
  <c r="O126" i="5"/>
  <c r="N124" i="5"/>
  <c r="M124" i="5"/>
  <c r="P124" i="5" s="1"/>
  <c r="L124" i="5"/>
  <c r="P123" i="5"/>
  <c r="O123" i="5"/>
  <c r="N120" i="5"/>
  <c r="M120" i="5"/>
  <c r="L120" i="5"/>
  <c r="O120" i="5" s="1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J99" i="5"/>
  <c r="I99" i="5"/>
  <c r="J98" i="5"/>
  <c r="J86" i="5" s="1"/>
  <c r="I98" i="5"/>
  <c r="N96" i="5"/>
  <c r="N94" i="5" s="1"/>
  <c r="M96" i="5"/>
  <c r="P96" i="5" s="1"/>
  <c r="L96" i="5"/>
  <c r="P95" i="5"/>
  <c r="O95" i="5"/>
  <c r="N93" i="5"/>
  <c r="M93" i="5"/>
  <c r="M91" i="5" s="1"/>
  <c r="L93" i="5"/>
  <c r="P92" i="5"/>
  <c r="O92" i="5"/>
  <c r="P89" i="5"/>
  <c r="O89" i="5"/>
  <c r="N89" i="5"/>
  <c r="M89" i="5"/>
  <c r="L89" i="5"/>
  <c r="J87" i="5"/>
  <c r="I84" i="5"/>
  <c r="K84" i="5" s="1"/>
  <c r="I83" i="5"/>
  <c r="K83" i="5" s="1"/>
  <c r="I82" i="5"/>
  <c r="K82" i="5" s="1"/>
  <c r="I81" i="5"/>
  <c r="I80" i="5"/>
  <c r="K80" i="5" s="1"/>
  <c r="I79" i="5"/>
  <c r="K79" i="5" s="1"/>
  <c r="I78" i="5"/>
  <c r="J77" i="5"/>
  <c r="J65" i="5" s="1"/>
  <c r="J76" i="5"/>
  <c r="N74" i="5"/>
  <c r="N72" i="5" s="1"/>
  <c r="M74" i="5"/>
  <c r="P74" i="5" s="1"/>
  <c r="L74" i="5"/>
  <c r="O74" i="5" s="1"/>
  <c r="P73" i="5"/>
  <c r="O73" i="5"/>
  <c r="N71" i="5"/>
  <c r="N69" i="5" s="1"/>
  <c r="M71" i="5"/>
  <c r="P71" i="5" s="1"/>
  <c r="L71" i="5"/>
  <c r="O71" i="5" s="1"/>
  <c r="P70" i="5"/>
  <c r="O70" i="5"/>
  <c r="P67" i="5"/>
  <c r="O67" i="5"/>
  <c r="N67" i="5"/>
  <c r="M67" i="5"/>
  <c r="L67" i="5"/>
  <c r="J64" i="5"/>
  <c r="N61" i="5"/>
  <c r="N59" i="5" s="1"/>
  <c r="M61" i="5"/>
  <c r="M59" i="5" s="1"/>
  <c r="L61" i="5"/>
  <c r="P60" i="5"/>
  <c r="O60" i="5"/>
  <c r="N58" i="5"/>
  <c r="N56" i="5" s="1"/>
  <c r="M58" i="5"/>
  <c r="L58" i="5"/>
  <c r="P57" i="5"/>
  <c r="O57" i="5"/>
  <c r="N54" i="5"/>
  <c r="M54" i="5"/>
  <c r="L54" i="5"/>
  <c r="O54" i="5" s="1"/>
  <c r="N49" i="5"/>
  <c r="N47" i="5" s="1"/>
  <c r="M49" i="5"/>
  <c r="P49" i="5" s="1"/>
  <c r="L49" i="5"/>
  <c r="P48" i="5"/>
  <c r="O48" i="5"/>
  <c r="N46" i="5"/>
  <c r="N44" i="5" s="1"/>
  <c r="M46" i="5"/>
  <c r="M44" i="5" s="1"/>
  <c r="L46" i="5"/>
  <c r="L44" i="5" s="1"/>
  <c r="P45" i="5"/>
  <c r="O45" i="5"/>
  <c r="P42" i="5"/>
  <c r="O42" i="5"/>
  <c r="N42" i="5"/>
  <c r="M42" i="5"/>
  <c r="L42" i="5"/>
  <c r="N36" i="5"/>
  <c r="M36" i="5"/>
  <c r="P36" i="5" s="1"/>
  <c r="N35" i="5"/>
  <c r="N15" i="5" s="1"/>
  <c r="M35" i="5"/>
  <c r="M15" i="5" s="1"/>
  <c r="P15" i="5" s="1"/>
  <c r="L35" i="5"/>
  <c r="L15" i="5" s="1"/>
  <c r="M33" i="5"/>
  <c r="P33" i="5" s="1"/>
  <c r="N32" i="5"/>
  <c r="M32" i="5"/>
  <c r="L32" i="5"/>
  <c r="O32" i="5" s="1"/>
  <c r="O25" i="5"/>
  <c r="N25" i="5"/>
  <c r="M25" i="5"/>
  <c r="P25" i="5" s="1"/>
  <c r="L25" i="5"/>
  <c r="O22" i="5"/>
  <c r="N22" i="5"/>
  <c r="M22" i="5"/>
  <c r="P22" i="5" s="1"/>
  <c r="L22" i="5"/>
  <c r="L19" i="5"/>
  <c r="O19" i="5" s="1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P809" i="4"/>
  <c r="O809" i="4"/>
  <c r="M808" i="4"/>
  <c r="P808" i="4" s="1"/>
  <c r="L808" i="4"/>
  <c r="O808" i="4" s="1"/>
  <c r="M807" i="4"/>
  <c r="P807" i="4" s="1"/>
  <c r="L807" i="4"/>
  <c r="N806" i="4"/>
  <c r="M806" i="4"/>
  <c r="P806" i="4" s="1"/>
  <c r="L806" i="4"/>
  <c r="O806" i="4" s="1"/>
  <c r="P805" i="4"/>
  <c r="M805" i="4"/>
  <c r="K804" i="4"/>
  <c r="J804" i="4"/>
  <c r="K802" i="4"/>
  <c r="J801" i="4"/>
  <c r="J800" i="4"/>
  <c r="J785" i="4" s="1"/>
  <c r="I800" i="4"/>
  <c r="I785" i="4" s="1"/>
  <c r="K785" i="4" s="1"/>
  <c r="P798" i="4"/>
  <c r="O798" i="4"/>
  <c r="P797" i="4"/>
  <c r="O797" i="4"/>
  <c r="P796" i="4"/>
  <c r="O796" i="4"/>
  <c r="N796" i="4"/>
  <c r="M796" i="4"/>
  <c r="L796" i="4"/>
  <c r="P791" i="4"/>
  <c r="N791" i="4"/>
  <c r="L791" i="4"/>
  <c r="L788" i="4" s="1"/>
  <c r="P790" i="4"/>
  <c r="O790" i="4"/>
  <c r="N789" i="4"/>
  <c r="M789" i="4"/>
  <c r="P789" i="4" s="1"/>
  <c r="N788" i="4"/>
  <c r="M788" i="4"/>
  <c r="P788" i="4" s="1"/>
  <c r="N787" i="4"/>
  <c r="N786" i="4" s="1"/>
  <c r="M787" i="4"/>
  <c r="P787" i="4" s="1"/>
  <c r="L787" i="4"/>
  <c r="O787" i="4" s="1"/>
  <c r="P786" i="4"/>
  <c r="M786" i="4"/>
  <c r="P782" i="4"/>
  <c r="O782" i="4"/>
  <c r="P781" i="4"/>
  <c r="O781" i="4"/>
  <c r="P780" i="4"/>
  <c r="N780" i="4"/>
  <c r="M780" i="4"/>
  <c r="L780" i="4"/>
  <c r="O780" i="4" s="1"/>
  <c r="P775" i="4"/>
  <c r="O775" i="4"/>
  <c r="N775" i="4"/>
  <c r="N772" i="4" s="1"/>
  <c r="N770" i="4" s="1"/>
  <c r="P774" i="4"/>
  <c r="O774" i="4"/>
  <c r="O773" i="4"/>
  <c r="N773" i="4"/>
  <c r="M773" i="4"/>
  <c r="P773" i="4" s="1"/>
  <c r="L773" i="4"/>
  <c r="M772" i="4"/>
  <c r="L772" i="4"/>
  <c r="O772" i="4" s="1"/>
  <c r="N771" i="4"/>
  <c r="M771" i="4"/>
  <c r="P771" i="4" s="1"/>
  <c r="L771" i="4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N756" i="4" s="1"/>
  <c r="N754" i="4" s="1"/>
  <c r="P758" i="4"/>
  <c r="O758" i="4"/>
  <c r="O757" i="4"/>
  <c r="N757" i="4"/>
  <c r="M757" i="4"/>
  <c r="P757" i="4" s="1"/>
  <c r="L757" i="4"/>
  <c r="M756" i="4"/>
  <c r="L756" i="4"/>
  <c r="O756" i="4" s="1"/>
  <c r="N755" i="4"/>
  <c r="M755" i="4"/>
  <c r="P755" i="4" s="1"/>
  <c r="L755" i="4"/>
  <c r="K753" i="4"/>
  <c r="J753" i="4"/>
  <c r="P749" i="4"/>
  <c r="O749" i="4"/>
  <c r="P748" i="4"/>
  <c r="O748" i="4"/>
  <c r="P747" i="4"/>
  <c r="O747" i="4"/>
  <c r="N747" i="4"/>
  <c r="M747" i="4"/>
  <c r="L747" i="4"/>
  <c r="P742" i="4"/>
  <c r="O742" i="4"/>
  <c r="N742" i="4"/>
  <c r="N739" i="4" s="1"/>
  <c r="N737" i="4" s="1"/>
  <c r="P741" i="4"/>
  <c r="O741" i="4"/>
  <c r="N740" i="4"/>
  <c r="M740" i="4"/>
  <c r="P740" i="4" s="1"/>
  <c r="L740" i="4"/>
  <c r="O740" i="4" s="1"/>
  <c r="M739" i="4"/>
  <c r="L739" i="4"/>
  <c r="O739" i="4" s="1"/>
  <c r="N738" i="4"/>
  <c r="M738" i="4"/>
  <c r="P738" i="4" s="1"/>
  <c r="L738" i="4"/>
  <c r="K736" i="4"/>
  <c r="J736" i="4"/>
  <c r="J729" i="4"/>
  <c r="I729" i="4"/>
  <c r="J728" i="4"/>
  <c r="I728" i="4"/>
  <c r="J727" i="4"/>
  <c r="J726" i="4"/>
  <c r="I726" i="4"/>
  <c r="J725" i="4"/>
  <c r="I725" i="4"/>
  <c r="J724" i="4"/>
  <c r="J723" i="4"/>
  <c r="I723" i="4"/>
  <c r="I722" i="4"/>
  <c r="I721" i="4"/>
  <c r="J720" i="4"/>
  <c r="I720" i="4"/>
  <c r="J719" i="4"/>
  <c r="J718" i="4"/>
  <c r="J708" i="4"/>
  <c r="I708" i="4"/>
  <c r="I707" i="4"/>
  <c r="I704" i="4"/>
  <c r="J701" i="4"/>
  <c r="I701" i="4"/>
  <c r="J700" i="4"/>
  <c r="I700" i="4"/>
  <c r="K700" i="4" s="1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P690" i="4"/>
  <c r="N690" i="4"/>
  <c r="N687" i="4" s="1"/>
  <c r="L690" i="4"/>
  <c r="L687" i="4" s="1"/>
  <c r="M688" i="4"/>
  <c r="P688" i="4" s="1"/>
  <c r="M687" i="4"/>
  <c r="P687" i="4" s="1"/>
  <c r="P686" i="4"/>
  <c r="O686" i="4"/>
  <c r="N686" i="4"/>
  <c r="M686" i="4"/>
  <c r="L686" i="4"/>
  <c r="P685" i="4"/>
  <c r="M685" i="4"/>
  <c r="J679" i="4"/>
  <c r="J678" i="4"/>
  <c r="I678" i="4"/>
  <c r="K678" i="4" s="1"/>
  <c r="J675" i="4"/>
  <c r="I671" i="4"/>
  <c r="K671" i="4" s="1"/>
  <c r="I670" i="4"/>
  <c r="K670" i="4" s="1"/>
  <c r="J669" i="4"/>
  <c r="J654" i="4" s="1"/>
  <c r="I669" i="4"/>
  <c r="K674" i="4" s="1"/>
  <c r="P667" i="4"/>
  <c r="O667" i="4"/>
  <c r="P666" i="4"/>
  <c r="O666" i="4"/>
  <c r="P665" i="4"/>
  <c r="O665" i="4"/>
  <c r="N665" i="4"/>
  <c r="M665" i="4"/>
  <c r="L665" i="4"/>
  <c r="P660" i="4"/>
  <c r="N660" i="4"/>
  <c r="L660" i="4"/>
  <c r="L658" i="4" s="1"/>
  <c r="O658" i="4" s="1"/>
  <c r="P659" i="4"/>
  <c r="O659" i="4"/>
  <c r="P658" i="4"/>
  <c r="N658" i="4"/>
  <c r="M658" i="4"/>
  <c r="N657" i="4"/>
  <c r="M657" i="4"/>
  <c r="P657" i="4" s="1"/>
  <c r="N656" i="4"/>
  <c r="N655" i="4" s="1"/>
  <c r="M656" i="4"/>
  <c r="P656" i="4" s="1"/>
  <c r="L656" i="4"/>
  <c r="O656" i="4" s="1"/>
  <c r="M655" i="4"/>
  <c r="P655" i="4" s="1"/>
  <c r="K652" i="4"/>
  <c r="J652" i="4"/>
  <c r="J651" i="4"/>
  <c r="J628" i="4" s="1"/>
  <c r="I651" i="4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P640" i="4"/>
  <c r="O640" i="4"/>
  <c r="N639" i="4"/>
  <c r="M639" i="4"/>
  <c r="P639" i="4" s="1"/>
  <c r="P634" i="4"/>
  <c r="N634" i="4"/>
  <c r="L634" i="4"/>
  <c r="P633" i="4"/>
  <c r="O633" i="4"/>
  <c r="N632" i="4"/>
  <c r="M632" i="4"/>
  <c r="P632" i="4" s="1"/>
  <c r="P631" i="4"/>
  <c r="N631" i="4"/>
  <c r="M631" i="4"/>
  <c r="P630" i="4"/>
  <c r="O630" i="4"/>
  <c r="N630" i="4"/>
  <c r="M630" i="4"/>
  <c r="M629" i="4" s="1"/>
  <c r="P629" i="4" s="1"/>
  <c r="L630" i="4"/>
  <c r="N629" i="4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5" i="4"/>
  <c r="J594" i="4"/>
  <c r="I594" i="4"/>
  <c r="K594" i="4" s="1"/>
  <c r="J593" i="4"/>
  <c r="I593" i="4"/>
  <c r="K593" i="4" s="1"/>
  <c r="J592" i="4"/>
  <c r="J583" i="4"/>
  <c r="J582" i="4"/>
  <c r="J576" i="4" s="1"/>
  <c r="J559" i="4" s="1"/>
  <c r="J543" i="4" s="1"/>
  <c r="J577" i="4"/>
  <c r="I577" i="4"/>
  <c r="K577" i="4" s="1"/>
  <c r="I576" i="4"/>
  <c r="K576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P555" i="4"/>
  <c r="N555" i="4"/>
  <c r="M555" i="4"/>
  <c r="N553" i="4"/>
  <c r="N549" i="4" s="1"/>
  <c r="P549" i="4"/>
  <c r="L549" i="4"/>
  <c r="L547" i="4" s="1"/>
  <c r="P548" i="4"/>
  <c r="O548" i="4"/>
  <c r="P547" i="4"/>
  <c r="M547" i="4"/>
  <c r="P546" i="4"/>
  <c r="M546" i="4"/>
  <c r="O545" i="4"/>
  <c r="N545" i="4"/>
  <c r="M545" i="4"/>
  <c r="P545" i="4" s="1"/>
  <c r="L545" i="4"/>
  <c r="M544" i="4"/>
  <c r="P544" i="4" s="1"/>
  <c r="I542" i="4"/>
  <c r="K542" i="4" s="1"/>
  <c r="I541" i="4"/>
  <c r="K541" i="4" s="1"/>
  <c r="I540" i="4"/>
  <c r="K540" i="4" s="1"/>
  <c r="I539" i="4"/>
  <c r="I538" i="4"/>
  <c r="K538" i="4" s="1"/>
  <c r="I537" i="4"/>
  <c r="K537" i="4" s="1"/>
  <c r="P535" i="4"/>
  <c r="L535" i="4"/>
  <c r="O535" i="4" s="1"/>
  <c r="P534" i="4"/>
  <c r="O534" i="4"/>
  <c r="P533" i="4"/>
  <c r="N533" i="4"/>
  <c r="M533" i="4"/>
  <c r="P528" i="4"/>
  <c r="N528" i="4"/>
  <c r="N525" i="4" s="1"/>
  <c r="L528" i="4"/>
  <c r="L526" i="4" s="1"/>
  <c r="O526" i="4" s="1"/>
  <c r="P527" i="4"/>
  <c r="O527" i="4"/>
  <c r="M526" i="4"/>
  <c r="P526" i="4" s="1"/>
  <c r="M525" i="4"/>
  <c r="N524" i="4"/>
  <c r="M524" i="4"/>
  <c r="P524" i="4" s="1"/>
  <c r="L524" i="4"/>
  <c r="K517" i="4"/>
  <c r="J517" i="4"/>
  <c r="J501" i="4" s="1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P506" i="4"/>
  <c r="O506" i="4"/>
  <c r="N505" i="4"/>
  <c r="M505" i="4"/>
  <c r="P505" i="4" s="1"/>
  <c r="L505" i="4"/>
  <c r="O505" i="4" s="1"/>
  <c r="P504" i="4"/>
  <c r="N504" i="4"/>
  <c r="M504" i="4"/>
  <c r="L504" i="4"/>
  <c r="O504" i="4" s="1"/>
  <c r="P503" i="4"/>
  <c r="O503" i="4"/>
  <c r="N503" i="4"/>
  <c r="M503" i="4"/>
  <c r="M502" i="4" s="1"/>
  <c r="P502" i="4" s="1"/>
  <c r="L503" i="4"/>
  <c r="L502" i="4" s="1"/>
  <c r="O502" i="4"/>
  <c r="N502" i="4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N476" i="4"/>
  <c r="P472" i="4"/>
  <c r="N472" i="4"/>
  <c r="L472" i="4"/>
  <c r="P471" i="4"/>
  <c r="O471" i="4"/>
  <c r="N470" i="4"/>
  <c r="M470" i="4"/>
  <c r="P470" i="4" s="1"/>
  <c r="N469" i="4"/>
  <c r="M469" i="4"/>
  <c r="P469" i="4" s="1"/>
  <c r="P468" i="4"/>
  <c r="N468" i="4"/>
  <c r="N467" i="4" s="1"/>
  <c r="M468" i="4"/>
  <c r="M467" i="4" s="1"/>
  <c r="L468" i="4"/>
  <c r="O468" i="4" s="1"/>
  <c r="P467" i="4"/>
  <c r="J466" i="4"/>
  <c r="I466" i="4"/>
  <c r="J465" i="4"/>
  <c r="I465" i="4"/>
  <c r="K465" i="4" s="1"/>
  <c r="I464" i="4"/>
  <c r="I463" i="4"/>
  <c r="I462" i="4"/>
  <c r="I443" i="4" s="1"/>
  <c r="K443" i="4" s="1"/>
  <c r="I460" i="4"/>
  <c r="K460" i="4" s="1"/>
  <c r="K458" i="4"/>
  <c r="P456" i="4"/>
  <c r="L456" i="4"/>
  <c r="L454" i="4" s="1"/>
  <c r="O454" i="4" s="1"/>
  <c r="P455" i="4"/>
  <c r="O455" i="4"/>
  <c r="P454" i="4"/>
  <c r="N454" i="4"/>
  <c r="M454" i="4"/>
  <c r="P449" i="4"/>
  <c r="N449" i="4"/>
  <c r="N446" i="4" s="1"/>
  <c r="L449" i="4"/>
  <c r="L447" i="4" s="1"/>
  <c r="P448" i="4"/>
  <c r="O448" i="4"/>
  <c r="M447" i="4"/>
  <c r="P447" i="4" s="1"/>
  <c r="M446" i="4"/>
  <c r="N445" i="4"/>
  <c r="N444" i="4" s="1"/>
  <c r="M445" i="4"/>
  <c r="P445" i="4" s="1"/>
  <c r="L445" i="4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K435" i="4" s="1"/>
  <c r="J434" i="4"/>
  <c r="P431" i="4"/>
  <c r="L431" i="4"/>
  <c r="O431" i="4" s="1"/>
  <c r="P430" i="4"/>
  <c r="O430" i="4"/>
  <c r="N429" i="4"/>
  <c r="M429" i="4"/>
  <c r="P429" i="4" s="1"/>
  <c r="P424" i="4"/>
  <c r="N424" i="4"/>
  <c r="L424" i="4"/>
  <c r="P423" i="4"/>
  <c r="O423" i="4"/>
  <c r="M422" i="4"/>
  <c r="P422" i="4" s="1"/>
  <c r="M421" i="4"/>
  <c r="P420" i="4"/>
  <c r="N420" i="4"/>
  <c r="M420" i="4"/>
  <c r="L420" i="4"/>
  <c r="J418" i="4"/>
  <c r="K413" i="4"/>
  <c r="K412" i="4"/>
  <c r="N410" i="4"/>
  <c r="N408" i="4" s="1"/>
  <c r="M410" i="4"/>
  <c r="L410" i="4"/>
  <c r="L408" i="4" s="1"/>
  <c r="O408" i="4" s="1"/>
  <c r="P409" i="4"/>
  <c r="O409" i="4"/>
  <c r="N407" i="4"/>
  <c r="M407" i="4"/>
  <c r="M405" i="4" s="1"/>
  <c r="P405" i="4" s="1"/>
  <c r="L407" i="4"/>
  <c r="O407" i="4" s="1"/>
  <c r="P406" i="4"/>
  <c r="O406" i="4"/>
  <c r="P403" i="4"/>
  <c r="N403" i="4"/>
  <c r="M403" i="4"/>
  <c r="L403" i="4"/>
  <c r="K401" i="4"/>
  <c r="J401" i="4"/>
  <c r="I401" i="4"/>
  <c r="K400" i="4"/>
  <c r="K399" i="4"/>
  <c r="N397" i="4"/>
  <c r="N395" i="4" s="1"/>
  <c r="M397" i="4"/>
  <c r="P397" i="4" s="1"/>
  <c r="L397" i="4"/>
  <c r="L395" i="4" s="1"/>
  <c r="O395" i="4" s="1"/>
  <c r="P396" i="4"/>
  <c r="O396" i="4"/>
  <c r="N394" i="4"/>
  <c r="N392" i="4" s="1"/>
  <c r="M394" i="4"/>
  <c r="L394" i="4"/>
  <c r="L392" i="4" s="1"/>
  <c r="O392" i="4" s="1"/>
  <c r="P393" i="4"/>
  <c r="O393" i="4"/>
  <c r="N390" i="4"/>
  <c r="M390" i="4"/>
  <c r="P390" i="4" s="1"/>
  <c r="L390" i="4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P352" i="4"/>
  <c r="O352" i="4"/>
  <c r="N350" i="4"/>
  <c r="M350" i="4"/>
  <c r="L350" i="4"/>
  <c r="P349" i="4"/>
  <c r="O349" i="4"/>
  <c r="P346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M336" i="4"/>
  <c r="M334" i="4" s="1"/>
  <c r="L336" i="4"/>
  <c r="L334" i="4" s="1"/>
  <c r="P335" i="4"/>
  <c r="O335" i="4"/>
  <c r="N333" i="4"/>
  <c r="N331" i="4" s="1"/>
  <c r="M333" i="4"/>
  <c r="M331" i="4" s="1"/>
  <c r="L333" i="4"/>
  <c r="P332" i="4"/>
  <c r="O332" i="4"/>
  <c r="P329" i="4"/>
  <c r="O329" i="4"/>
  <c r="N329" i="4"/>
  <c r="M329" i="4"/>
  <c r="L329" i="4"/>
  <c r="I327" i="4"/>
  <c r="I325" i="4"/>
  <c r="I314" i="4" s="1"/>
  <c r="K314" i="4" s="1"/>
  <c r="N323" i="4"/>
  <c r="N321" i="4" s="1"/>
  <c r="M323" i="4"/>
  <c r="P323" i="4" s="1"/>
  <c r="L323" i="4"/>
  <c r="P322" i="4"/>
  <c r="O322" i="4"/>
  <c r="N320" i="4"/>
  <c r="M320" i="4"/>
  <c r="P320" i="4" s="1"/>
  <c r="L320" i="4"/>
  <c r="L318" i="4" s="1"/>
  <c r="O318" i="4" s="1"/>
  <c r="P319" i="4"/>
  <c r="O319" i="4"/>
  <c r="N316" i="4"/>
  <c r="M316" i="4"/>
  <c r="L316" i="4"/>
  <c r="O316" i="4" s="1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M304" i="4" s="1"/>
  <c r="P304" i="4" s="1"/>
  <c r="L306" i="4"/>
  <c r="O306" i="4" s="1"/>
  <c r="P305" i="4"/>
  <c r="O305" i="4"/>
  <c r="N303" i="4"/>
  <c r="M303" i="4"/>
  <c r="M301" i="4" s="1"/>
  <c r="L303" i="4"/>
  <c r="P302" i="4"/>
  <c r="O302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J288" i="4" s="1"/>
  <c r="I287" i="4"/>
  <c r="I276" i="4" s="1"/>
  <c r="K276" i="4" s="1"/>
  <c r="N285" i="4"/>
  <c r="N283" i="4" s="1"/>
  <c r="M285" i="4"/>
  <c r="P285" i="4" s="1"/>
  <c r="L285" i="4"/>
  <c r="P284" i="4"/>
  <c r="O284" i="4"/>
  <c r="N282" i="4"/>
  <c r="M282" i="4"/>
  <c r="L282" i="4"/>
  <c r="L280" i="4" s="1"/>
  <c r="P281" i="4"/>
  <c r="O281" i="4"/>
  <c r="O278" i="4"/>
  <c r="N278" i="4"/>
  <c r="M278" i="4"/>
  <c r="P278" i="4" s="1"/>
  <c r="L278" i="4"/>
  <c r="J276" i="4"/>
  <c r="I271" i="4"/>
  <c r="N269" i="4"/>
  <c r="N267" i="4" s="1"/>
  <c r="M269" i="4"/>
  <c r="M267" i="4" s="1"/>
  <c r="P267" i="4" s="1"/>
  <c r="L269" i="4"/>
  <c r="O269" i="4" s="1"/>
  <c r="P268" i="4"/>
  <c r="O268" i="4"/>
  <c r="N266" i="4"/>
  <c r="M266" i="4"/>
  <c r="L266" i="4"/>
  <c r="L264" i="4" s="1"/>
  <c r="P265" i="4"/>
  <c r="O265" i="4"/>
  <c r="P262" i="4"/>
  <c r="O262" i="4"/>
  <c r="N262" i="4"/>
  <c r="M262" i="4"/>
  <c r="L262" i="4"/>
  <c r="J260" i="4"/>
  <c r="K258" i="4"/>
  <c r="K257" i="4"/>
  <c r="I255" i="4"/>
  <c r="K255" i="4" s="1"/>
  <c r="L253" i="4"/>
  <c r="L252" i="4"/>
  <c r="L251" i="4"/>
  <c r="L250" i="4"/>
  <c r="P249" i="4"/>
  <c r="N249" i="4"/>
  <c r="J248" i="4"/>
  <c r="K247" i="4"/>
  <c r="K246" i="4"/>
  <c r="I244" i="4"/>
  <c r="L242" i="4"/>
  <c r="L241" i="4"/>
  <c r="L240" i="4"/>
  <c r="N239" i="4"/>
  <c r="L239" i="4"/>
  <c r="P238" i="4"/>
  <c r="N238" i="4"/>
  <c r="J237" i="4"/>
  <c r="K236" i="4"/>
  <c r="J236" i="4"/>
  <c r="I236" i="4"/>
  <c r="K235" i="4"/>
  <c r="J235" i="4"/>
  <c r="I235" i="4"/>
  <c r="J233" i="4"/>
  <c r="N231" i="4"/>
  <c r="N230" i="4"/>
  <c r="N229" i="4"/>
  <c r="N228" i="4"/>
  <c r="N227" i="4"/>
  <c r="I225" i="4"/>
  <c r="I224" i="4"/>
  <c r="I216" i="4" s="1"/>
  <c r="K216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I197" i="4" s="1"/>
  <c r="K197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M187" i="4" s="1"/>
  <c r="P187" i="4" s="1"/>
  <c r="L189" i="4"/>
  <c r="O189" i="4" s="1"/>
  <c r="P188" i="4"/>
  <c r="O188" i="4"/>
  <c r="N186" i="4"/>
  <c r="N184" i="4" s="1"/>
  <c r="M186" i="4"/>
  <c r="M184" i="4" s="1"/>
  <c r="L186" i="4"/>
  <c r="P185" i="4"/>
  <c r="O185" i="4"/>
  <c r="O182" i="4"/>
  <c r="N182" i="4"/>
  <c r="M182" i="4"/>
  <c r="L182" i="4"/>
  <c r="J177" i="4"/>
  <c r="J164" i="4" s="1"/>
  <c r="I176" i="4"/>
  <c r="I174" i="4" s="1"/>
  <c r="I164" i="4" s="1"/>
  <c r="K164" i="4" s="1"/>
  <c r="J174" i="4"/>
  <c r="N173" i="4"/>
  <c r="N171" i="4" s="1"/>
  <c r="M173" i="4"/>
  <c r="L173" i="4"/>
  <c r="O173" i="4" s="1"/>
  <c r="P172" i="4"/>
  <c r="O172" i="4"/>
  <c r="N170" i="4"/>
  <c r="M170" i="4"/>
  <c r="M168" i="4" s="1"/>
  <c r="L170" i="4"/>
  <c r="L168" i="4" s="1"/>
  <c r="P169" i="4"/>
  <c r="O169" i="4"/>
  <c r="P166" i="4"/>
  <c r="O166" i="4"/>
  <c r="N166" i="4"/>
  <c r="M166" i="4"/>
  <c r="L166" i="4"/>
  <c r="I159" i="4"/>
  <c r="N157" i="4"/>
  <c r="N155" i="4" s="1"/>
  <c r="M157" i="4"/>
  <c r="P157" i="4" s="1"/>
  <c r="L157" i="4"/>
  <c r="O157" i="4" s="1"/>
  <c r="P156" i="4"/>
  <c r="O156" i="4"/>
  <c r="N154" i="4"/>
  <c r="M154" i="4"/>
  <c r="L154" i="4"/>
  <c r="L152" i="4" s="1"/>
  <c r="P153" i="4"/>
  <c r="O153" i="4"/>
  <c r="P150" i="4"/>
  <c r="O150" i="4"/>
  <c r="N150" i="4"/>
  <c r="M150" i="4"/>
  <c r="L150" i="4"/>
  <c r="J148" i="4"/>
  <c r="I146" i="4"/>
  <c r="I130" i="4" s="1"/>
  <c r="K130" i="4" s="1"/>
  <c r="I145" i="4"/>
  <c r="I144" i="4"/>
  <c r="K144" i="4" s="1"/>
  <c r="N140" i="4"/>
  <c r="M140" i="4"/>
  <c r="M138" i="4" s="1"/>
  <c r="L140" i="4"/>
  <c r="L138" i="4" s="1"/>
  <c r="P139" i="4"/>
  <c r="O139" i="4"/>
  <c r="N137" i="4"/>
  <c r="N135" i="4" s="1"/>
  <c r="M137" i="4"/>
  <c r="L137" i="4"/>
  <c r="L135" i="4" s="1"/>
  <c r="P136" i="4"/>
  <c r="O136" i="4"/>
  <c r="N133" i="4"/>
  <c r="M133" i="4"/>
  <c r="P133" i="4" s="1"/>
  <c r="L133" i="4"/>
  <c r="O133" i="4" s="1"/>
  <c r="J130" i="4"/>
  <c r="N127" i="4"/>
  <c r="N125" i="4" s="1"/>
  <c r="M127" i="4"/>
  <c r="M125" i="4" s="1"/>
  <c r="P125" i="4" s="1"/>
  <c r="L127" i="4"/>
  <c r="O127" i="4" s="1"/>
  <c r="P126" i="4"/>
  <c r="O126" i="4"/>
  <c r="N124" i="4"/>
  <c r="M124" i="4"/>
  <c r="P124" i="4" s="1"/>
  <c r="L124" i="4"/>
  <c r="L122" i="4" s="1"/>
  <c r="O122" i="4" s="1"/>
  <c r="P123" i="4"/>
  <c r="O123" i="4"/>
  <c r="P120" i="4"/>
  <c r="O120" i="4"/>
  <c r="N120" i="4"/>
  <c r="M120" i="4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J87" i="4" s="1"/>
  <c r="I99" i="4"/>
  <c r="I87" i="4" s="1"/>
  <c r="K87" i="4" s="1"/>
  <c r="J98" i="4"/>
  <c r="I98" i="4"/>
  <c r="K98" i="4" s="1"/>
  <c r="N96" i="4"/>
  <c r="N94" i="4" s="1"/>
  <c r="M96" i="4"/>
  <c r="L96" i="4"/>
  <c r="L94" i="4" s="1"/>
  <c r="O94" i="4" s="1"/>
  <c r="P95" i="4"/>
  <c r="O95" i="4"/>
  <c r="N93" i="4"/>
  <c r="M93" i="4"/>
  <c r="M91" i="4" s="1"/>
  <c r="L93" i="4"/>
  <c r="L91" i="4" s="1"/>
  <c r="P92" i="4"/>
  <c r="O92" i="4"/>
  <c r="P89" i="4"/>
  <c r="O89" i="4"/>
  <c r="N89" i="4"/>
  <c r="M89" i="4"/>
  <c r="L89" i="4"/>
  <c r="J86" i="4"/>
  <c r="I84" i="4"/>
  <c r="K84" i="4" s="1"/>
  <c r="I83" i="4"/>
  <c r="K83" i="4" s="1"/>
  <c r="I82" i="4"/>
  <c r="K82" i="4" s="1"/>
  <c r="I81" i="4"/>
  <c r="K81" i="4" s="1"/>
  <c r="I80" i="4"/>
  <c r="K80" i="4" s="1"/>
  <c r="I79" i="4"/>
  <c r="I78" i="4"/>
  <c r="K78" i="4" s="1"/>
  <c r="J77" i="4"/>
  <c r="J76" i="4"/>
  <c r="N74" i="4"/>
  <c r="N72" i="4" s="1"/>
  <c r="M74" i="4"/>
  <c r="M72" i="4" s="1"/>
  <c r="P72" i="4" s="1"/>
  <c r="L74" i="4"/>
  <c r="P73" i="4"/>
  <c r="O73" i="4"/>
  <c r="N71" i="4"/>
  <c r="M71" i="4"/>
  <c r="P71" i="4" s="1"/>
  <c r="L71" i="4"/>
  <c r="P70" i="4"/>
  <c r="O70" i="4"/>
  <c r="O67" i="4"/>
  <c r="N67" i="4"/>
  <c r="M67" i="4"/>
  <c r="P67" i="4" s="1"/>
  <c r="L67" i="4"/>
  <c r="J65" i="4"/>
  <c r="J64" i="4"/>
  <c r="N61" i="4"/>
  <c r="N59" i="4" s="1"/>
  <c r="M61" i="4"/>
  <c r="L61" i="4"/>
  <c r="L59" i="4" s="1"/>
  <c r="P60" i="4"/>
  <c r="O60" i="4"/>
  <c r="N58" i="4"/>
  <c r="M58" i="4"/>
  <c r="L58" i="4"/>
  <c r="L56" i="4" s="1"/>
  <c r="P57" i="4"/>
  <c r="O57" i="4"/>
  <c r="P54" i="4"/>
  <c r="O54" i="4"/>
  <c r="N54" i="4"/>
  <c r="M54" i="4"/>
  <c r="L54" i="4"/>
  <c r="N49" i="4"/>
  <c r="N47" i="4" s="1"/>
  <c r="M49" i="4"/>
  <c r="L49" i="4"/>
  <c r="P48" i="4"/>
  <c r="O48" i="4"/>
  <c r="N46" i="4"/>
  <c r="N44" i="4" s="1"/>
  <c r="M46" i="4"/>
  <c r="L46" i="4"/>
  <c r="P45" i="4"/>
  <c r="O45" i="4"/>
  <c r="N42" i="4"/>
  <c r="M42" i="4"/>
  <c r="P42" i="4" s="1"/>
  <c r="L42" i="4"/>
  <c r="P36" i="4"/>
  <c r="N36" i="4"/>
  <c r="M36" i="4"/>
  <c r="O35" i="4"/>
  <c r="N35" i="4"/>
  <c r="N34" i="4" s="1"/>
  <c r="M35" i="4"/>
  <c r="P35" i="4" s="1"/>
  <c r="L35" i="4"/>
  <c r="M34" i="4"/>
  <c r="P34" i="4" s="1"/>
  <c r="M33" i="4"/>
  <c r="P33" i="4" s="1"/>
  <c r="P32" i="4"/>
  <c r="N32" i="4"/>
  <c r="M32" i="4"/>
  <c r="M31" i="4" s="1"/>
  <c r="P31" i="4" s="1"/>
  <c r="L32" i="4"/>
  <c r="O32" i="4" s="1"/>
  <c r="P25" i="4"/>
  <c r="N25" i="4"/>
  <c r="M25" i="4"/>
  <c r="L25" i="4"/>
  <c r="O25" i="4" s="1"/>
  <c r="O22" i="4"/>
  <c r="N22" i="4"/>
  <c r="M22" i="4"/>
  <c r="L22" i="4"/>
  <c r="L19" i="4"/>
  <c r="O19" i="4" s="1"/>
  <c r="M15" i="4"/>
  <c r="P15" i="4" s="1"/>
  <c r="L12" i="4"/>
  <c r="O12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N807" i="3" s="1"/>
  <c r="P809" i="3"/>
  <c r="O809" i="3"/>
  <c r="O808" i="3"/>
  <c r="N808" i="3"/>
  <c r="M808" i="3"/>
  <c r="P808" i="3" s="1"/>
  <c r="L808" i="3"/>
  <c r="M807" i="3"/>
  <c r="P807" i="3" s="1"/>
  <c r="L807" i="3"/>
  <c r="O807" i="3" s="1"/>
  <c r="N806" i="3"/>
  <c r="M806" i="3"/>
  <c r="P806" i="3" s="1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N788" i="3" s="1"/>
  <c r="L791" i="3"/>
  <c r="L788" i="3" s="1"/>
  <c r="O788" i="3" s="1"/>
  <c r="P790" i="3"/>
  <c r="O790" i="3"/>
  <c r="M789" i="3"/>
  <c r="P789" i="3" s="1"/>
  <c r="M788" i="3"/>
  <c r="P788" i="3" s="1"/>
  <c r="N787" i="3"/>
  <c r="M787" i="3"/>
  <c r="P787" i="3" s="1"/>
  <c r="L787" i="3"/>
  <c r="P782" i="3"/>
  <c r="O782" i="3"/>
  <c r="P781" i="3"/>
  <c r="O781" i="3"/>
  <c r="P780" i="3"/>
  <c r="N780" i="3"/>
  <c r="M780" i="3"/>
  <c r="L780" i="3"/>
  <c r="O780" i="3" s="1"/>
  <c r="P775" i="3"/>
  <c r="O775" i="3"/>
  <c r="N775" i="3"/>
  <c r="P774" i="3"/>
  <c r="O774" i="3"/>
  <c r="P773" i="3"/>
  <c r="O773" i="3"/>
  <c r="N773" i="3"/>
  <c r="M773" i="3"/>
  <c r="L773" i="3"/>
  <c r="O772" i="3"/>
  <c r="N772" i="3"/>
  <c r="M772" i="3"/>
  <c r="P772" i="3" s="1"/>
  <c r="L772" i="3"/>
  <c r="N771" i="3"/>
  <c r="M771" i="3"/>
  <c r="L771" i="3"/>
  <c r="O771" i="3" s="1"/>
  <c r="L770" i="3"/>
  <c r="O770" i="3" s="1"/>
  <c r="K769" i="3"/>
  <c r="J769" i="3"/>
  <c r="P766" i="3"/>
  <c r="O766" i="3"/>
  <c r="P765" i="3"/>
  <c r="O765" i="3"/>
  <c r="P764" i="3"/>
  <c r="N764" i="3"/>
  <c r="M764" i="3"/>
  <c r="L764" i="3"/>
  <c r="O764" i="3" s="1"/>
  <c r="P759" i="3"/>
  <c r="O759" i="3"/>
  <c r="N759" i="3"/>
  <c r="P758" i="3"/>
  <c r="O758" i="3"/>
  <c r="P757" i="3"/>
  <c r="O757" i="3"/>
  <c r="N757" i="3"/>
  <c r="M757" i="3"/>
  <c r="L757" i="3"/>
  <c r="O756" i="3"/>
  <c r="N756" i="3"/>
  <c r="M756" i="3"/>
  <c r="P756" i="3" s="1"/>
  <c r="L756" i="3"/>
  <c r="N755" i="3"/>
  <c r="M755" i="3"/>
  <c r="L755" i="3"/>
  <c r="O755" i="3" s="1"/>
  <c r="K753" i="3"/>
  <c r="J753" i="3"/>
  <c r="P749" i="3"/>
  <c r="O749" i="3"/>
  <c r="P748" i="3"/>
  <c r="O748" i="3"/>
  <c r="P747" i="3"/>
  <c r="N747" i="3"/>
  <c r="M747" i="3"/>
  <c r="L747" i="3"/>
  <c r="O747" i="3" s="1"/>
  <c r="P742" i="3"/>
  <c r="O742" i="3"/>
  <c r="N742" i="3"/>
  <c r="P741" i="3"/>
  <c r="O741" i="3"/>
  <c r="P740" i="3"/>
  <c r="O740" i="3"/>
  <c r="N740" i="3"/>
  <c r="M740" i="3"/>
  <c r="L740" i="3"/>
  <c r="O739" i="3"/>
  <c r="N739" i="3"/>
  <c r="M739" i="3"/>
  <c r="P739" i="3" s="1"/>
  <c r="L739" i="3"/>
  <c r="N738" i="3"/>
  <c r="M738" i="3"/>
  <c r="L738" i="3"/>
  <c r="O738" i="3" s="1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I707" i="3"/>
  <c r="I704" i="3"/>
  <c r="J701" i="3"/>
  <c r="I701" i="3"/>
  <c r="K701" i="3" s="1"/>
  <c r="J700" i="3"/>
  <c r="I700" i="3"/>
  <c r="J699" i="3"/>
  <c r="I699" i="3"/>
  <c r="P697" i="3"/>
  <c r="O697" i="3"/>
  <c r="P696" i="3"/>
  <c r="O696" i="3"/>
  <c r="P695" i="3"/>
  <c r="N695" i="3"/>
  <c r="M695" i="3"/>
  <c r="L695" i="3"/>
  <c r="O695" i="3" s="1"/>
  <c r="P690" i="3"/>
  <c r="N690" i="3"/>
  <c r="L690" i="3"/>
  <c r="O690" i="3" s="1"/>
  <c r="N688" i="3"/>
  <c r="M688" i="3"/>
  <c r="P688" i="3" s="1"/>
  <c r="N687" i="3"/>
  <c r="M687" i="3"/>
  <c r="P687" i="3" s="1"/>
  <c r="N686" i="3"/>
  <c r="N685" i="3" s="1"/>
  <c r="M686" i="3"/>
  <c r="P686" i="3" s="1"/>
  <c r="L686" i="3"/>
  <c r="J679" i="3"/>
  <c r="J678" i="3" s="1"/>
  <c r="I678" i="3"/>
  <c r="K678" i="3" s="1"/>
  <c r="J675" i="3"/>
  <c r="J669" i="3" s="1"/>
  <c r="J654" i="3" s="1"/>
  <c r="I671" i="3"/>
  <c r="K671" i="3" s="1"/>
  <c r="I670" i="3"/>
  <c r="K670" i="3" s="1"/>
  <c r="I669" i="3"/>
  <c r="I654" i="3" s="1"/>
  <c r="K654" i="3" s="1"/>
  <c r="P667" i="3"/>
  <c r="O667" i="3"/>
  <c r="P666" i="3"/>
  <c r="O666" i="3"/>
  <c r="N665" i="3"/>
  <c r="M665" i="3"/>
  <c r="P665" i="3" s="1"/>
  <c r="L665" i="3"/>
  <c r="O665" i="3" s="1"/>
  <c r="P660" i="3"/>
  <c r="N660" i="3"/>
  <c r="L660" i="3"/>
  <c r="L658" i="3" s="1"/>
  <c r="O658" i="3" s="1"/>
  <c r="P659" i="3"/>
  <c r="O659" i="3"/>
  <c r="P658" i="3"/>
  <c r="N658" i="3"/>
  <c r="M658" i="3"/>
  <c r="P657" i="3"/>
  <c r="N657" i="3"/>
  <c r="M657" i="3"/>
  <c r="P656" i="3"/>
  <c r="O656" i="3"/>
  <c r="N656" i="3"/>
  <c r="M656" i="3"/>
  <c r="L656" i="3"/>
  <c r="N655" i="3"/>
  <c r="M655" i="3"/>
  <c r="P655" i="3" s="1"/>
  <c r="K652" i="3"/>
  <c r="J652" i="3"/>
  <c r="J651" i="3"/>
  <c r="J628" i="3" s="1"/>
  <c r="I651" i="3"/>
  <c r="K651" i="3" s="1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N639" i="3"/>
  <c r="M639" i="3"/>
  <c r="P639" i="3" s="1"/>
  <c r="P634" i="3"/>
  <c r="N634" i="3"/>
  <c r="N631" i="3" s="1"/>
  <c r="L634" i="3"/>
  <c r="O634" i="3" s="1"/>
  <c r="P633" i="3"/>
  <c r="O633" i="3"/>
  <c r="N632" i="3"/>
  <c r="M632" i="3"/>
  <c r="P632" i="3" s="1"/>
  <c r="M631" i="3"/>
  <c r="P631" i="3" s="1"/>
  <c r="P630" i="3"/>
  <c r="N630" i="3"/>
  <c r="N629" i="3" s="1"/>
  <c r="M630" i="3"/>
  <c r="M629" i="3" s="1"/>
  <c r="P629" i="3" s="1"/>
  <c r="L630" i="3"/>
  <c r="O630" i="3" s="1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5" i="3"/>
  <c r="J593" i="3" s="1"/>
  <c r="J594" i="3"/>
  <c r="I594" i="3"/>
  <c r="I593" i="3"/>
  <c r="I592" i="3" s="1"/>
  <c r="K592" i="3" s="1"/>
  <c r="J592" i="3"/>
  <c r="J583" i="3"/>
  <c r="J582" i="3"/>
  <c r="J576" i="3" s="1"/>
  <c r="J577" i="3"/>
  <c r="I577" i="3"/>
  <c r="K577" i="3" s="1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J559" i="3"/>
  <c r="J543" i="3" s="1"/>
  <c r="P557" i="3"/>
  <c r="L557" i="3"/>
  <c r="O557" i="3" s="1"/>
  <c r="P556" i="3"/>
  <c r="O556" i="3"/>
  <c r="P555" i="3"/>
  <c r="N555" i="3"/>
  <c r="M555" i="3"/>
  <c r="P549" i="3"/>
  <c r="N549" i="3"/>
  <c r="L549" i="3"/>
  <c r="O549" i="3" s="1"/>
  <c r="P548" i="3"/>
  <c r="O548" i="3"/>
  <c r="P547" i="3"/>
  <c r="N547" i="3"/>
  <c r="M547" i="3"/>
  <c r="P546" i="3"/>
  <c r="N546" i="3"/>
  <c r="M546" i="3"/>
  <c r="O545" i="3"/>
  <c r="N545" i="3"/>
  <c r="N544" i="3" s="1"/>
  <c r="M545" i="3"/>
  <c r="P545" i="3" s="1"/>
  <c r="L545" i="3"/>
  <c r="M544" i="3"/>
  <c r="P544" i="3" s="1"/>
  <c r="I542" i="3"/>
  <c r="K542" i="3" s="1"/>
  <c r="I541" i="3"/>
  <c r="K541" i="3" s="1"/>
  <c r="I540" i="3"/>
  <c r="K540" i="3" s="1"/>
  <c r="I539" i="3"/>
  <c r="I538" i="3"/>
  <c r="K538" i="3" s="1"/>
  <c r="I537" i="3"/>
  <c r="I522" i="3" s="1"/>
  <c r="K522" i="3" s="1"/>
  <c r="P535" i="3"/>
  <c r="L535" i="3"/>
  <c r="L533" i="3" s="1"/>
  <c r="O533" i="3" s="1"/>
  <c r="P534" i="3"/>
  <c r="O534" i="3"/>
  <c r="P533" i="3"/>
  <c r="N533" i="3"/>
  <c r="M533" i="3"/>
  <c r="P528" i="3"/>
  <c r="N528" i="3"/>
  <c r="N525" i="3" s="1"/>
  <c r="L528" i="3"/>
  <c r="P527" i="3"/>
  <c r="O527" i="3"/>
  <c r="N526" i="3"/>
  <c r="M526" i="3"/>
  <c r="P526" i="3" s="1"/>
  <c r="M525" i="3"/>
  <c r="P525" i="3" s="1"/>
  <c r="N524" i="3"/>
  <c r="N523" i="3" s="1"/>
  <c r="M524" i="3"/>
  <c r="P524" i="3" s="1"/>
  <c r="L524" i="3"/>
  <c r="K517" i="3"/>
  <c r="J517" i="3"/>
  <c r="K516" i="3"/>
  <c r="P514" i="3"/>
  <c r="O514" i="3"/>
  <c r="P513" i="3"/>
  <c r="O513" i="3"/>
  <c r="O512" i="3"/>
  <c r="N512" i="3"/>
  <c r="M512" i="3"/>
  <c r="P512" i="3" s="1"/>
  <c r="L512" i="3"/>
  <c r="P507" i="3"/>
  <c r="O507" i="3"/>
  <c r="N507" i="3"/>
  <c r="N504" i="3" s="1"/>
  <c r="P506" i="3"/>
  <c r="O506" i="3"/>
  <c r="M505" i="3"/>
  <c r="P505" i="3" s="1"/>
  <c r="L505" i="3"/>
  <c r="O505" i="3" s="1"/>
  <c r="P504" i="3"/>
  <c r="M504" i="3"/>
  <c r="M502" i="3" s="1"/>
  <c r="P502" i="3" s="1"/>
  <c r="L504" i="3"/>
  <c r="O504" i="3" s="1"/>
  <c r="P503" i="3"/>
  <c r="O503" i="3"/>
  <c r="N503" i="3"/>
  <c r="M503" i="3"/>
  <c r="L503" i="3"/>
  <c r="L502" i="3" s="1"/>
  <c r="O502" i="3"/>
  <c r="N502" i="3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N477" i="3"/>
  <c r="M477" i="3"/>
  <c r="P477" i="3" s="1"/>
  <c r="P472" i="3"/>
  <c r="N472" i="3"/>
  <c r="N469" i="3" s="1"/>
  <c r="N467" i="3" s="1"/>
  <c r="L472" i="3"/>
  <c r="O472" i="3" s="1"/>
  <c r="P471" i="3"/>
  <c r="O471" i="3"/>
  <c r="N470" i="3"/>
  <c r="M470" i="3"/>
  <c r="P470" i="3" s="1"/>
  <c r="P469" i="3"/>
  <c r="M469" i="3"/>
  <c r="M467" i="3" s="1"/>
  <c r="P467" i="3" s="1"/>
  <c r="P468" i="3"/>
  <c r="O468" i="3"/>
  <c r="N468" i="3"/>
  <c r="M468" i="3"/>
  <c r="L468" i="3"/>
  <c r="J466" i="3"/>
  <c r="I466" i="3"/>
  <c r="K466" i="3" s="1"/>
  <c r="J465" i="3"/>
  <c r="I465" i="3"/>
  <c r="K465" i="3" s="1"/>
  <c r="I464" i="3"/>
  <c r="I463" i="3"/>
  <c r="I462" i="3"/>
  <c r="I443" i="3" s="1"/>
  <c r="K443" i="3" s="1"/>
  <c r="I460" i="3"/>
  <c r="K460" i="3" s="1"/>
  <c r="K458" i="3"/>
  <c r="P456" i="3"/>
  <c r="L456" i="3"/>
  <c r="L454" i="3" s="1"/>
  <c r="O454" i="3" s="1"/>
  <c r="P455" i="3"/>
  <c r="O455" i="3"/>
  <c r="N454" i="3"/>
  <c r="M454" i="3"/>
  <c r="P454" i="3" s="1"/>
  <c r="P449" i="3"/>
  <c r="N449" i="3"/>
  <c r="N446" i="3" s="1"/>
  <c r="L449" i="3"/>
  <c r="O449" i="3" s="1"/>
  <c r="P448" i="3"/>
  <c r="O448" i="3"/>
  <c r="N447" i="3"/>
  <c r="M447" i="3"/>
  <c r="P447" i="3" s="1"/>
  <c r="M446" i="3"/>
  <c r="P446" i="3" s="1"/>
  <c r="P445" i="3"/>
  <c r="N445" i="3"/>
  <c r="N444" i="3" s="1"/>
  <c r="M445" i="3"/>
  <c r="L445" i="3"/>
  <c r="O445" i="3" s="1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K435" i="3" s="1"/>
  <c r="J434" i="3"/>
  <c r="P431" i="3"/>
  <c r="L431" i="3"/>
  <c r="L429" i="3" s="1"/>
  <c r="O429" i="3" s="1"/>
  <c r="P430" i="3"/>
  <c r="O430" i="3"/>
  <c r="N429" i="3"/>
  <c r="M429" i="3"/>
  <c r="P429" i="3" s="1"/>
  <c r="P424" i="3"/>
  <c r="N424" i="3"/>
  <c r="N421" i="3" s="1"/>
  <c r="L424" i="3"/>
  <c r="O424" i="3" s="1"/>
  <c r="P423" i="3"/>
  <c r="O423" i="3"/>
  <c r="N422" i="3"/>
  <c r="M422" i="3"/>
  <c r="P422" i="3" s="1"/>
  <c r="M421" i="3"/>
  <c r="P421" i="3" s="1"/>
  <c r="P420" i="3"/>
  <c r="N420" i="3"/>
  <c r="N419" i="3" s="1"/>
  <c r="M420" i="3"/>
  <c r="L420" i="3"/>
  <c r="O420" i="3" s="1"/>
  <c r="J418" i="3"/>
  <c r="K413" i="3"/>
  <c r="K412" i="3"/>
  <c r="N410" i="3"/>
  <c r="N408" i="3" s="1"/>
  <c r="M410" i="3"/>
  <c r="M408" i="3" s="1"/>
  <c r="P408" i="3" s="1"/>
  <c r="L410" i="3"/>
  <c r="P409" i="3"/>
  <c r="O409" i="3"/>
  <c r="N407" i="3"/>
  <c r="M407" i="3"/>
  <c r="M405" i="3" s="1"/>
  <c r="P405" i="3" s="1"/>
  <c r="L407" i="3"/>
  <c r="O407" i="3" s="1"/>
  <c r="P406" i="3"/>
  <c r="O406" i="3"/>
  <c r="P403" i="3"/>
  <c r="O403" i="3"/>
  <c r="N403" i="3"/>
  <c r="M403" i="3"/>
  <c r="L403" i="3"/>
  <c r="J401" i="3"/>
  <c r="I401" i="3"/>
  <c r="K401" i="3" s="1"/>
  <c r="K400" i="3"/>
  <c r="K399" i="3"/>
  <c r="N397" i="3"/>
  <c r="N395" i="3" s="1"/>
  <c r="M397" i="3"/>
  <c r="L397" i="3"/>
  <c r="O397" i="3" s="1"/>
  <c r="P396" i="3"/>
  <c r="O396" i="3"/>
  <c r="N394" i="3"/>
  <c r="M394" i="3"/>
  <c r="P394" i="3" s="1"/>
  <c r="L394" i="3"/>
  <c r="O394" i="3" s="1"/>
  <c r="P393" i="3"/>
  <c r="O393" i="3"/>
  <c r="P390" i="3"/>
  <c r="N390" i="3"/>
  <c r="M390" i="3"/>
  <c r="L390" i="3"/>
  <c r="O390" i="3" s="1"/>
  <c r="J388" i="3"/>
  <c r="I388" i="3"/>
  <c r="K388" i="3" s="1"/>
  <c r="J385" i="3"/>
  <c r="I385" i="3"/>
  <c r="K382" i="3"/>
  <c r="J382" i="3"/>
  <c r="J381" i="3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M353" i="3"/>
  <c r="M351" i="3" s="1"/>
  <c r="L353" i="3"/>
  <c r="P352" i="3"/>
  <c r="O352" i="3"/>
  <c r="N350" i="3"/>
  <c r="N348" i="3" s="1"/>
  <c r="M350" i="3"/>
  <c r="L350" i="3"/>
  <c r="P349" i="3"/>
  <c r="O349" i="3"/>
  <c r="P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O336" i="3" s="1"/>
  <c r="P335" i="3"/>
  <c r="O335" i="3"/>
  <c r="N333" i="3"/>
  <c r="N331" i="3" s="1"/>
  <c r="M333" i="3"/>
  <c r="L333" i="3"/>
  <c r="P332" i="3"/>
  <c r="O332" i="3"/>
  <c r="P329" i="3"/>
  <c r="N329" i="3"/>
  <c r="M329" i="3"/>
  <c r="L329" i="3"/>
  <c r="I327" i="3"/>
  <c r="I325" i="3"/>
  <c r="K325" i="3" s="1"/>
  <c r="N323" i="3"/>
  <c r="N321" i="3" s="1"/>
  <c r="M323" i="3"/>
  <c r="P323" i="3" s="1"/>
  <c r="L323" i="3"/>
  <c r="L321" i="3" s="1"/>
  <c r="O321" i="3" s="1"/>
  <c r="P322" i="3"/>
  <c r="O322" i="3"/>
  <c r="N320" i="3"/>
  <c r="M320" i="3"/>
  <c r="M318" i="3" s="1"/>
  <c r="P318" i="3" s="1"/>
  <c r="L320" i="3"/>
  <c r="L318" i="3" s="1"/>
  <c r="O318" i="3" s="1"/>
  <c r="P319" i="3"/>
  <c r="O319" i="3"/>
  <c r="P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P306" i="3" s="1"/>
  <c r="L306" i="3"/>
  <c r="O306" i="3" s="1"/>
  <c r="P305" i="3"/>
  <c r="O305" i="3"/>
  <c r="N303" i="3"/>
  <c r="N301" i="3" s="1"/>
  <c r="M303" i="3"/>
  <c r="P303" i="3" s="1"/>
  <c r="L303" i="3"/>
  <c r="O303" i="3" s="1"/>
  <c r="P302" i="3"/>
  <c r="O302" i="3"/>
  <c r="P299" i="3"/>
  <c r="N299" i="3"/>
  <c r="M299" i="3"/>
  <c r="L299" i="3"/>
  <c r="O299" i="3" s="1"/>
  <c r="J297" i="3"/>
  <c r="I294" i="3"/>
  <c r="K294" i="3" s="1"/>
  <c r="I293" i="3"/>
  <c r="K293" i="3" s="1"/>
  <c r="I291" i="3"/>
  <c r="K291" i="3" s="1"/>
  <c r="I290" i="3"/>
  <c r="K290" i="3" s="1"/>
  <c r="I288" i="3"/>
  <c r="K288" i="3" s="1"/>
  <c r="I287" i="3"/>
  <c r="I276" i="3" s="1"/>
  <c r="K276" i="3" s="1"/>
  <c r="N285" i="3"/>
  <c r="N283" i="3" s="1"/>
  <c r="M285" i="3"/>
  <c r="M283" i="3" s="1"/>
  <c r="P283" i="3" s="1"/>
  <c r="L285" i="3"/>
  <c r="P284" i="3"/>
  <c r="O284" i="3"/>
  <c r="N282" i="3"/>
  <c r="M282" i="3"/>
  <c r="L282" i="3"/>
  <c r="P281" i="3"/>
  <c r="O281" i="3"/>
  <c r="O278" i="3"/>
  <c r="N278" i="3"/>
  <c r="M278" i="3"/>
  <c r="P278" i="3" s="1"/>
  <c r="L278" i="3"/>
  <c r="J276" i="3"/>
  <c r="I271" i="3"/>
  <c r="K271" i="3" s="1"/>
  <c r="N269" i="3"/>
  <c r="N267" i="3" s="1"/>
  <c r="M269" i="3"/>
  <c r="P269" i="3" s="1"/>
  <c r="L269" i="3"/>
  <c r="O269" i="3" s="1"/>
  <c r="P268" i="3"/>
  <c r="O268" i="3"/>
  <c r="N266" i="3"/>
  <c r="N264" i="3" s="1"/>
  <c r="M266" i="3"/>
  <c r="P266" i="3" s="1"/>
  <c r="L266" i="3"/>
  <c r="L264" i="3" s="1"/>
  <c r="P265" i="3"/>
  <c r="O265" i="3"/>
  <c r="P262" i="3"/>
  <c r="N262" i="3"/>
  <c r="M262" i="3"/>
  <c r="L262" i="3"/>
  <c r="O262" i="3" s="1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J248" i="3"/>
  <c r="K247" i="3"/>
  <c r="K246" i="3"/>
  <c r="I244" i="3"/>
  <c r="K244" i="3" s="1"/>
  <c r="L242" i="3"/>
  <c r="L241" i="3"/>
  <c r="L240" i="3"/>
  <c r="L239" i="3"/>
  <c r="P238" i="3"/>
  <c r="N238" i="3"/>
  <c r="J237" i="3"/>
  <c r="J226" i="3" s="1"/>
  <c r="J180" i="3" s="1"/>
  <c r="J236" i="3"/>
  <c r="I236" i="3"/>
  <c r="K236" i="3" s="1"/>
  <c r="J235" i="3"/>
  <c r="I235" i="3"/>
  <c r="K235" i="3" s="1"/>
  <c r="J233" i="3"/>
  <c r="N231" i="3"/>
  <c r="N230" i="3"/>
  <c r="N229" i="3"/>
  <c r="N228" i="3"/>
  <c r="N227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M187" i="3" s="1"/>
  <c r="P187" i="3" s="1"/>
  <c r="L189" i="3"/>
  <c r="L187" i="3" s="1"/>
  <c r="O187" i="3" s="1"/>
  <c r="P188" i="3"/>
  <c r="O188" i="3"/>
  <c r="N186" i="3"/>
  <c r="N184" i="3" s="1"/>
  <c r="M186" i="3"/>
  <c r="M184" i="3" s="1"/>
  <c r="L186" i="3"/>
  <c r="L184" i="3" s="1"/>
  <c r="P185" i="3"/>
  <c r="O185" i="3"/>
  <c r="P182" i="3"/>
  <c r="N182" i="3"/>
  <c r="M182" i="3"/>
  <c r="L182" i="3"/>
  <c r="K180" i="3"/>
  <c r="J177" i="3"/>
  <c r="I176" i="3"/>
  <c r="J174" i="3"/>
  <c r="N173" i="3"/>
  <c r="N171" i="3" s="1"/>
  <c r="M173" i="3"/>
  <c r="P173" i="3" s="1"/>
  <c r="L173" i="3"/>
  <c r="L171" i="3" s="1"/>
  <c r="O171" i="3" s="1"/>
  <c r="P172" i="3"/>
  <c r="O172" i="3"/>
  <c r="N170" i="3"/>
  <c r="M170" i="3"/>
  <c r="L170" i="3"/>
  <c r="L168" i="3" s="1"/>
  <c r="P169" i="3"/>
  <c r="O169" i="3"/>
  <c r="O166" i="3"/>
  <c r="N166" i="3"/>
  <c r="M166" i="3"/>
  <c r="L166" i="3"/>
  <c r="J164" i="3"/>
  <c r="I159" i="3"/>
  <c r="K159" i="3" s="1"/>
  <c r="N157" i="3"/>
  <c r="N155" i="3" s="1"/>
  <c r="M157" i="3"/>
  <c r="M155" i="3" s="1"/>
  <c r="P155" i="3" s="1"/>
  <c r="L157" i="3"/>
  <c r="O157" i="3" s="1"/>
  <c r="P156" i="3"/>
  <c r="O156" i="3"/>
  <c r="N154" i="3"/>
  <c r="N152" i="3" s="1"/>
  <c r="M154" i="3"/>
  <c r="M152" i="3" s="1"/>
  <c r="P152" i="3" s="1"/>
  <c r="L154" i="3"/>
  <c r="O154" i="3" s="1"/>
  <c r="P153" i="3"/>
  <c r="O153" i="3"/>
  <c r="O150" i="3"/>
  <c r="N150" i="3"/>
  <c r="M150" i="3"/>
  <c r="L150" i="3"/>
  <c r="J148" i="3"/>
  <c r="I146" i="3"/>
  <c r="I130" i="3" s="1"/>
  <c r="K130" i="3" s="1"/>
  <c r="I145" i="3"/>
  <c r="I143" i="3" s="1"/>
  <c r="I144" i="3"/>
  <c r="N140" i="3"/>
  <c r="N138" i="3" s="1"/>
  <c r="M140" i="3"/>
  <c r="L140" i="3"/>
  <c r="O140" i="3" s="1"/>
  <c r="P139" i="3"/>
  <c r="O139" i="3"/>
  <c r="N137" i="3"/>
  <c r="M137" i="3"/>
  <c r="L137" i="3"/>
  <c r="P136" i="3"/>
  <c r="O136" i="3"/>
  <c r="P133" i="3"/>
  <c r="N133" i="3"/>
  <c r="M133" i="3"/>
  <c r="L133" i="3"/>
  <c r="J130" i="3"/>
  <c r="N127" i="3"/>
  <c r="N125" i="3" s="1"/>
  <c r="M127" i="3"/>
  <c r="M125" i="3" s="1"/>
  <c r="P125" i="3" s="1"/>
  <c r="L127" i="3"/>
  <c r="O127" i="3" s="1"/>
  <c r="P126" i="3"/>
  <c r="O126" i="3"/>
  <c r="N124" i="3"/>
  <c r="N122" i="3" s="1"/>
  <c r="M124" i="3"/>
  <c r="M122" i="3" s="1"/>
  <c r="P122" i="3" s="1"/>
  <c r="L124" i="3"/>
  <c r="O124" i="3" s="1"/>
  <c r="P123" i="3"/>
  <c r="O123" i="3"/>
  <c r="O120" i="3"/>
  <c r="N120" i="3"/>
  <c r="M120" i="3"/>
  <c r="L120" i="3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I99" i="3"/>
  <c r="J98" i="3"/>
  <c r="J86" i="3" s="1"/>
  <c r="I98" i="3"/>
  <c r="K98" i="3" s="1"/>
  <c r="N96" i="3"/>
  <c r="N94" i="3" s="1"/>
  <c r="M96" i="3"/>
  <c r="P96" i="3" s="1"/>
  <c r="L96" i="3"/>
  <c r="L94" i="3" s="1"/>
  <c r="O94" i="3" s="1"/>
  <c r="P95" i="3"/>
  <c r="O95" i="3"/>
  <c r="N93" i="3"/>
  <c r="M93" i="3"/>
  <c r="M91" i="3" s="1"/>
  <c r="L93" i="3"/>
  <c r="L91" i="3" s="1"/>
  <c r="P92" i="3"/>
  <c r="O92" i="3"/>
  <c r="O89" i="3"/>
  <c r="N89" i="3"/>
  <c r="M89" i="3"/>
  <c r="L89" i="3"/>
  <c r="J87" i="3"/>
  <c r="I84" i="3"/>
  <c r="K84" i="3" s="1"/>
  <c r="I83" i="3"/>
  <c r="K83" i="3" s="1"/>
  <c r="I82" i="3"/>
  <c r="I81" i="3"/>
  <c r="K81" i="3" s="1"/>
  <c r="I80" i="3"/>
  <c r="K80" i="3" s="1"/>
  <c r="I79" i="3"/>
  <c r="I78" i="3"/>
  <c r="K78" i="3" s="1"/>
  <c r="J77" i="3"/>
  <c r="J65" i="3" s="1"/>
  <c r="J76" i="3"/>
  <c r="N74" i="3"/>
  <c r="N72" i="3" s="1"/>
  <c r="M74" i="3"/>
  <c r="L74" i="3"/>
  <c r="O74" i="3" s="1"/>
  <c r="P73" i="3"/>
  <c r="O73" i="3"/>
  <c r="N71" i="3"/>
  <c r="N69" i="3" s="1"/>
  <c r="M71" i="3"/>
  <c r="L71" i="3"/>
  <c r="P70" i="3"/>
  <c r="O70" i="3"/>
  <c r="P67" i="3"/>
  <c r="N67" i="3"/>
  <c r="M67" i="3"/>
  <c r="L67" i="3"/>
  <c r="J64" i="3"/>
  <c r="N61" i="3"/>
  <c r="N59" i="3" s="1"/>
  <c r="M61" i="3"/>
  <c r="M59" i="3" s="1"/>
  <c r="P59" i="3" s="1"/>
  <c r="L61" i="3"/>
  <c r="O61" i="3" s="1"/>
  <c r="P60" i="3"/>
  <c r="O60" i="3"/>
  <c r="N58" i="3"/>
  <c r="N56" i="3" s="1"/>
  <c r="M58" i="3"/>
  <c r="M56" i="3" s="1"/>
  <c r="L58" i="3"/>
  <c r="L56" i="3" s="1"/>
  <c r="P57" i="3"/>
  <c r="O57" i="3"/>
  <c r="O54" i="3"/>
  <c r="N54" i="3"/>
  <c r="M54" i="3"/>
  <c r="L54" i="3"/>
  <c r="N49" i="3"/>
  <c r="N47" i="3" s="1"/>
  <c r="M49" i="3"/>
  <c r="L49" i="3"/>
  <c r="P48" i="3"/>
  <c r="O48" i="3"/>
  <c r="N46" i="3"/>
  <c r="M46" i="3"/>
  <c r="L46" i="3"/>
  <c r="L44" i="3" s="1"/>
  <c r="P45" i="3"/>
  <c r="O45" i="3"/>
  <c r="P42" i="3"/>
  <c r="N42" i="3"/>
  <c r="M42" i="3"/>
  <c r="L42" i="3"/>
  <c r="N36" i="3"/>
  <c r="M36" i="3"/>
  <c r="P36" i="3" s="1"/>
  <c r="P35" i="3"/>
  <c r="N35" i="3"/>
  <c r="N34" i="3" s="1"/>
  <c r="M35" i="3"/>
  <c r="L35" i="3"/>
  <c r="M34" i="3"/>
  <c r="P34" i="3" s="1"/>
  <c r="P33" i="3"/>
  <c r="N33" i="3"/>
  <c r="N30" i="3" s="1"/>
  <c r="M33" i="3"/>
  <c r="M31" i="3" s="1"/>
  <c r="O32" i="3"/>
  <c r="N32" i="3"/>
  <c r="M32" i="3"/>
  <c r="P32" i="3" s="1"/>
  <c r="L32" i="3"/>
  <c r="P31" i="3"/>
  <c r="N31" i="3"/>
  <c r="M30" i="3"/>
  <c r="P30" i="3" s="1"/>
  <c r="N29" i="3"/>
  <c r="N28" i="3" s="1"/>
  <c r="L29" i="3"/>
  <c r="O25" i="3"/>
  <c r="N25" i="3"/>
  <c r="M25" i="3"/>
  <c r="P25" i="3" s="1"/>
  <c r="L25" i="3"/>
  <c r="P22" i="3"/>
  <c r="N22" i="3"/>
  <c r="M22" i="3"/>
  <c r="L22" i="3"/>
  <c r="L12" i="3" s="1"/>
  <c r="O19" i="3"/>
  <c r="M19" i="3"/>
  <c r="P19" i="3" s="1"/>
  <c r="L19" i="3"/>
  <c r="L15" i="3"/>
  <c r="N12" i="3"/>
  <c r="M12" i="3"/>
  <c r="P12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P817" i="2"/>
  <c r="O817" i="2"/>
  <c r="P816" i="2"/>
  <c r="O816" i="2"/>
  <c r="O815" i="2"/>
  <c r="N815" i="2"/>
  <c r="M815" i="2"/>
  <c r="P815" i="2" s="1"/>
  <c r="L815" i="2"/>
  <c r="P810" i="2"/>
  <c r="O810" i="2"/>
  <c r="N810" i="2"/>
  <c r="P809" i="2"/>
  <c r="O809" i="2"/>
  <c r="M808" i="2"/>
  <c r="P808" i="2" s="1"/>
  <c r="L808" i="2"/>
  <c r="O808" i="2" s="1"/>
  <c r="P807" i="2"/>
  <c r="M807" i="2"/>
  <c r="L807" i="2"/>
  <c r="O807" i="2" s="1"/>
  <c r="P806" i="2"/>
  <c r="O806" i="2"/>
  <c r="N806" i="2"/>
  <c r="M806" i="2"/>
  <c r="L806" i="2"/>
  <c r="L805" i="2" s="1"/>
  <c r="O805" i="2" s="1"/>
  <c r="P805" i="2"/>
  <c r="M805" i="2"/>
  <c r="K804" i="2"/>
  <c r="J804" i="2"/>
  <c r="K802" i="2"/>
  <c r="J801" i="2"/>
  <c r="J800" i="2"/>
  <c r="J785" i="2" s="1"/>
  <c r="I800" i="2"/>
  <c r="I785" i="2" s="1"/>
  <c r="K785" i="2" s="1"/>
  <c r="P798" i="2"/>
  <c r="O798" i="2"/>
  <c r="P797" i="2"/>
  <c r="O797" i="2"/>
  <c r="N796" i="2"/>
  <c r="M796" i="2"/>
  <c r="P796" i="2" s="1"/>
  <c r="L796" i="2"/>
  <c r="O796" i="2" s="1"/>
  <c r="P791" i="2"/>
  <c r="N791" i="2"/>
  <c r="N788" i="2" s="1"/>
  <c r="N786" i="2" s="1"/>
  <c r="L791" i="2"/>
  <c r="L788" i="2" s="1"/>
  <c r="O788" i="2" s="1"/>
  <c r="P790" i="2"/>
  <c r="O790" i="2"/>
  <c r="N789" i="2"/>
  <c r="M789" i="2"/>
  <c r="P789" i="2" s="1"/>
  <c r="P788" i="2"/>
  <c r="M788" i="2"/>
  <c r="P787" i="2"/>
  <c r="O787" i="2"/>
  <c r="N787" i="2"/>
  <c r="M787" i="2"/>
  <c r="L787" i="2"/>
  <c r="P786" i="2"/>
  <c r="M786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N772" i="2" s="1"/>
  <c r="N770" i="2" s="1"/>
  <c r="P774" i="2"/>
  <c r="O774" i="2"/>
  <c r="N773" i="2"/>
  <c r="M773" i="2"/>
  <c r="P773" i="2" s="1"/>
  <c r="L773" i="2"/>
  <c r="O773" i="2" s="1"/>
  <c r="M772" i="2"/>
  <c r="P772" i="2" s="1"/>
  <c r="L772" i="2"/>
  <c r="O772" i="2" s="1"/>
  <c r="P771" i="2"/>
  <c r="N771" i="2"/>
  <c r="M771" i="2"/>
  <c r="L771" i="2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N756" i="2" s="1"/>
  <c r="N754" i="2" s="1"/>
  <c r="P758" i="2"/>
  <c r="O758" i="2"/>
  <c r="N757" i="2"/>
  <c r="M757" i="2"/>
  <c r="P757" i="2" s="1"/>
  <c r="L757" i="2"/>
  <c r="O757" i="2" s="1"/>
  <c r="M756" i="2"/>
  <c r="P756" i="2" s="1"/>
  <c r="L756" i="2"/>
  <c r="O756" i="2" s="1"/>
  <c r="P755" i="2"/>
  <c r="N755" i="2"/>
  <c r="M755" i="2"/>
  <c r="L755" i="2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N739" i="2" s="1"/>
  <c r="N737" i="2" s="1"/>
  <c r="P741" i="2"/>
  <c r="O741" i="2"/>
  <c r="N740" i="2"/>
  <c r="M740" i="2"/>
  <c r="P740" i="2" s="1"/>
  <c r="L740" i="2"/>
  <c r="O740" i="2" s="1"/>
  <c r="M739" i="2"/>
  <c r="P739" i="2" s="1"/>
  <c r="L739" i="2"/>
  <c r="O739" i="2" s="1"/>
  <c r="P738" i="2"/>
  <c r="N738" i="2"/>
  <c r="M738" i="2"/>
  <c r="M737" i="2" s="1"/>
  <c r="P737" i="2" s="1"/>
  <c r="L738" i="2"/>
  <c r="K736" i="2"/>
  <c r="J736" i="2"/>
  <c r="J729" i="2"/>
  <c r="I729" i="2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P690" i="2"/>
  <c r="N690" i="2"/>
  <c r="N687" i="2" s="1"/>
  <c r="L690" i="2"/>
  <c r="L688" i="2" s="1"/>
  <c r="M688" i="2"/>
  <c r="P688" i="2" s="1"/>
  <c r="P687" i="2"/>
  <c r="M687" i="2"/>
  <c r="P686" i="2"/>
  <c r="O686" i="2"/>
  <c r="N686" i="2"/>
  <c r="M686" i="2"/>
  <c r="L686" i="2"/>
  <c r="M685" i="2"/>
  <c r="P685" i="2" s="1"/>
  <c r="J679" i="2"/>
  <c r="J678" i="2"/>
  <c r="I678" i="2"/>
  <c r="K678" i="2" s="1"/>
  <c r="J675" i="2"/>
  <c r="I671" i="2"/>
  <c r="K671" i="2" s="1"/>
  <c r="I670" i="2"/>
  <c r="K670" i="2" s="1"/>
  <c r="J669" i="2"/>
  <c r="I669" i="2"/>
  <c r="K675" i="2" s="1"/>
  <c r="P667" i="2"/>
  <c r="O667" i="2"/>
  <c r="P666" i="2"/>
  <c r="O666" i="2"/>
  <c r="P665" i="2"/>
  <c r="O665" i="2"/>
  <c r="N665" i="2"/>
  <c r="M665" i="2"/>
  <c r="L665" i="2"/>
  <c r="P660" i="2"/>
  <c r="N660" i="2"/>
  <c r="L660" i="2"/>
  <c r="L657" i="2" s="1"/>
  <c r="P659" i="2"/>
  <c r="O659" i="2"/>
  <c r="M658" i="2"/>
  <c r="P658" i="2" s="1"/>
  <c r="M657" i="2"/>
  <c r="P657" i="2" s="1"/>
  <c r="N656" i="2"/>
  <c r="M656" i="2"/>
  <c r="P656" i="2" s="1"/>
  <c r="L656" i="2"/>
  <c r="M655" i="2"/>
  <c r="P655" i="2" s="1"/>
  <c r="J654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P640" i="2"/>
  <c r="O640" i="2"/>
  <c r="N639" i="2"/>
  <c r="M639" i="2"/>
  <c r="P639" i="2" s="1"/>
  <c r="P634" i="2"/>
  <c r="N634" i="2"/>
  <c r="L634" i="2"/>
  <c r="O634" i="2" s="1"/>
  <c r="P633" i="2"/>
  <c r="O633" i="2"/>
  <c r="P632" i="2"/>
  <c r="N632" i="2"/>
  <c r="M632" i="2"/>
  <c r="L632" i="2"/>
  <c r="O632" i="2" s="1"/>
  <c r="P631" i="2"/>
  <c r="N631" i="2"/>
  <c r="M631" i="2"/>
  <c r="O630" i="2"/>
  <c r="N630" i="2"/>
  <c r="N629" i="2" s="1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I594" i="2"/>
  <c r="K594" i="2" s="1"/>
  <c r="J593" i="2"/>
  <c r="J592" i="2" s="1"/>
  <c r="I593" i="2"/>
  <c r="J583" i="2"/>
  <c r="J577" i="2" s="1"/>
  <c r="J582" i="2"/>
  <c r="I577" i="2"/>
  <c r="J576" i="2"/>
  <c r="J559" i="2" s="1"/>
  <c r="J543" i="2" s="1"/>
  <c r="I576" i="2"/>
  <c r="I559" i="2" s="1"/>
  <c r="I543" i="2" s="1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P556" i="2"/>
  <c r="O556" i="2"/>
  <c r="N555" i="2"/>
  <c r="N545" i="2" s="1"/>
  <c r="N544" i="2" s="1"/>
  <c r="M555" i="2"/>
  <c r="P555" i="2" s="1"/>
  <c r="P549" i="2"/>
  <c r="N549" i="2"/>
  <c r="L549" i="2"/>
  <c r="L547" i="2" s="1"/>
  <c r="O547" i="2" s="1"/>
  <c r="P548" i="2"/>
  <c r="O548" i="2"/>
  <c r="N547" i="2"/>
  <c r="M547" i="2"/>
  <c r="P547" i="2" s="1"/>
  <c r="N546" i="2"/>
  <c r="M546" i="2"/>
  <c r="P546" i="2" s="1"/>
  <c r="M545" i="2"/>
  <c r="L545" i="2"/>
  <c r="O545" i="2" s="1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I522" i="2" s="1"/>
  <c r="P535" i="2"/>
  <c r="L535" i="2"/>
  <c r="O535" i="2" s="1"/>
  <c r="P534" i="2"/>
  <c r="O534" i="2"/>
  <c r="N533" i="2"/>
  <c r="M533" i="2"/>
  <c r="P533" i="2" s="1"/>
  <c r="P528" i="2"/>
  <c r="N528" i="2"/>
  <c r="N525" i="2" s="1"/>
  <c r="N523" i="2" s="1"/>
  <c r="L528" i="2"/>
  <c r="P527" i="2"/>
  <c r="O527" i="2"/>
  <c r="N526" i="2"/>
  <c r="M526" i="2"/>
  <c r="P526" i="2" s="1"/>
  <c r="P525" i="2"/>
  <c r="M525" i="2"/>
  <c r="P524" i="2"/>
  <c r="O524" i="2"/>
  <c r="N524" i="2"/>
  <c r="M524" i="2"/>
  <c r="L524" i="2"/>
  <c r="M523" i="2"/>
  <c r="P523" i="2" s="1"/>
  <c r="K517" i="2"/>
  <c r="J517" i="2"/>
  <c r="J501" i="2" s="1"/>
  <c r="K516" i="2"/>
  <c r="P514" i="2"/>
  <c r="O514" i="2"/>
  <c r="P513" i="2"/>
  <c r="O513" i="2"/>
  <c r="N512" i="2"/>
  <c r="M512" i="2"/>
  <c r="P512" i="2" s="1"/>
  <c r="L512" i="2"/>
  <c r="O512" i="2" s="1"/>
  <c r="P507" i="2"/>
  <c r="O507" i="2"/>
  <c r="N507" i="2"/>
  <c r="P506" i="2"/>
  <c r="O506" i="2"/>
  <c r="P505" i="2"/>
  <c r="O505" i="2"/>
  <c r="N505" i="2"/>
  <c r="M505" i="2"/>
  <c r="L505" i="2"/>
  <c r="O504" i="2"/>
  <c r="N504" i="2"/>
  <c r="M504" i="2"/>
  <c r="P504" i="2" s="1"/>
  <c r="L504" i="2"/>
  <c r="O503" i="2"/>
  <c r="N503" i="2"/>
  <c r="M503" i="2"/>
  <c r="L503" i="2"/>
  <c r="N502" i="2"/>
  <c r="L502" i="2"/>
  <c r="O502" i="2" s="1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P472" i="2"/>
  <c r="N472" i="2"/>
  <c r="L472" i="2"/>
  <c r="L470" i="2" s="1"/>
  <c r="P471" i="2"/>
  <c r="O471" i="2"/>
  <c r="P470" i="2"/>
  <c r="N470" i="2"/>
  <c r="M470" i="2"/>
  <c r="M469" i="2"/>
  <c r="P469" i="2" s="1"/>
  <c r="O468" i="2"/>
  <c r="N468" i="2"/>
  <c r="M468" i="2"/>
  <c r="L468" i="2"/>
  <c r="J466" i="2"/>
  <c r="I466" i="2"/>
  <c r="K466" i="2" s="1"/>
  <c r="J465" i="2"/>
  <c r="I465" i="2"/>
  <c r="K465" i="2" s="1"/>
  <c r="I464" i="2"/>
  <c r="I463" i="2"/>
  <c r="I462" i="2"/>
  <c r="K462" i="2" s="1"/>
  <c r="I460" i="2"/>
  <c r="K460" i="2" s="1"/>
  <c r="K458" i="2"/>
  <c r="P456" i="2"/>
  <c r="L456" i="2"/>
  <c r="P455" i="2"/>
  <c r="O455" i="2"/>
  <c r="N454" i="2"/>
  <c r="M454" i="2"/>
  <c r="P454" i="2" s="1"/>
  <c r="P449" i="2"/>
  <c r="N449" i="2"/>
  <c r="L449" i="2"/>
  <c r="O449" i="2" s="1"/>
  <c r="P448" i="2"/>
  <c r="O448" i="2"/>
  <c r="P447" i="2"/>
  <c r="N447" i="2"/>
  <c r="M447" i="2"/>
  <c r="P446" i="2"/>
  <c r="N446" i="2"/>
  <c r="M446" i="2"/>
  <c r="O445" i="2"/>
  <c r="N445" i="2"/>
  <c r="M445" i="2"/>
  <c r="L445" i="2"/>
  <c r="J443" i="2"/>
  <c r="J442" i="2"/>
  <c r="I441" i="2"/>
  <c r="K441" i="2" s="1"/>
  <c r="I440" i="2"/>
  <c r="I439" i="2"/>
  <c r="K439" i="2" s="1"/>
  <c r="I438" i="2"/>
  <c r="K438" i="2" s="1"/>
  <c r="I437" i="2"/>
  <c r="I435" i="2"/>
  <c r="I433" i="2" s="1"/>
  <c r="J434" i="2"/>
  <c r="P431" i="2"/>
  <c r="L431" i="2"/>
  <c r="P430" i="2"/>
  <c r="O430" i="2"/>
  <c r="N429" i="2"/>
  <c r="M429" i="2"/>
  <c r="P429" i="2" s="1"/>
  <c r="P424" i="2"/>
  <c r="N424" i="2"/>
  <c r="L424" i="2"/>
  <c r="L422" i="2" s="1"/>
  <c r="O422" i="2" s="1"/>
  <c r="P423" i="2"/>
  <c r="O423" i="2"/>
  <c r="P422" i="2"/>
  <c r="N422" i="2"/>
  <c r="M422" i="2"/>
  <c r="P421" i="2"/>
  <c r="N421" i="2"/>
  <c r="M421" i="2"/>
  <c r="P420" i="2"/>
  <c r="O420" i="2"/>
  <c r="N420" i="2"/>
  <c r="N419" i="2" s="1"/>
  <c r="M420" i="2"/>
  <c r="L420" i="2"/>
  <c r="M419" i="2"/>
  <c r="J418" i="2"/>
  <c r="K413" i="2"/>
  <c r="K412" i="2"/>
  <c r="N410" i="2"/>
  <c r="M410" i="2"/>
  <c r="L410" i="2"/>
  <c r="P409" i="2"/>
  <c r="O409" i="2"/>
  <c r="N407" i="2"/>
  <c r="N405" i="2" s="1"/>
  <c r="M407" i="2"/>
  <c r="P407" i="2" s="1"/>
  <c r="L407" i="2"/>
  <c r="L405" i="2" s="1"/>
  <c r="O405" i="2" s="1"/>
  <c r="P406" i="2"/>
  <c r="O406" i="2"/>
  <c r="N403" i="2"/>
  <c r="M403" i="2"/>
  <c r="P403" i="2" s="1"/>
  <c r="L403" i="2"/>
  <c r="K401" i="2"/>
  <c r="J401" i="2"/>
  <c r="I401" i="2"/>
  <c r="K400" i="2"/>
  <c r="K399" i="2"/>
  <c r="N397" i="2"/>
  <c r="N395" i="2" s="1"/>
  <c r="M397" i="2"/>
  <c r="P397" i="2" s="1"/>
  <c r="L397" i="2"/>
  <c r="O397" i="2" s="1"/>
  <c r="P396" i="2"/>
  <c r="O396" i="2"/>
  <c r="N394" i="2"/>
  <c r="N392" i="2" s="1"/>
  <c r="M394" i="2"/>
  <c r="P394" i="2" s="1"/>
  <c r="L394" i="2"/>
  <c r="O394" i="2" s="1"/>
  <c r="P393" i="2"/>
  <c r="O393" i="2"/>
  <c r="O390" i="2"/>
  <c r="N390" i="2"/>
  <c r="M390" i="2"/>
  <c r="L390" i="2"/>
  <c r="J388" i="2"/>
  <c r="I388" i="2"/>
  <c r="K388" i="2" s="1"/>
  <c r="J385" i="2"/>
  <c r="I385" i="2"/>
  <c r="K382" i="2"/>
  <c r="J382" i="2"/>
  <c r="J381" i="2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M351" i="2" s="1"/>
  <c r="L353" i="2"/>
  <c r="P352" i="2"/>
  <c r="O352" i="2"/>
  <c r="N350" i="2"/>
  <c r="M350" i="2"/>
  <c r="M348" i="2" s="1"/>
  <c r="L350" i="2"/>
  <c r="P349" i="2"/>
  <c r="O349" i="2"/>
  <c r="P346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M334" i="2" s="1"/>
  <c r="P334" i="2" s="1"/>
  <c r="L336" i="2"/>
  <c r="L334" i="2" s="1"/>
  <c r="O334" i="2" s="1"/>
  <c r="P335" i="2"/>
  <c r="O335" i="2"/>
  <c r="N333" i="2"/>
  <c r="M333" i="2"/>
  <c r="M331" i="2" s="1"/>
  <c r="L333" i="2"/>
  <c r="L331" i="2" s="1"/>
  <c r="P332" i="2"/>
  <c r="O332" i="2"/>
  <c r="P329" i="2"/>
  <c r="O329" i="2"/>
  <c r="N329" i="2"/>
  <c r="M329" i="2"/>
  <c r="L329" i="2"/>
  <c r="I327" i="2"/>
  <c r="I325" i="2"/>
  <c r="K325" i="2" s="1"/>
  <c r="N323" i="2"/>
  <c r="N321" i="2" s="1"/>
  <c r="M323" i="2"/>
  <c r="L323" i="2"/>
  <c r="O323" i="2" s="1"/>
  <c r="P322" i="2"/>
  <c r="O322" i="2"/>
  <c r="N320" i="2"/>
  <c r="M320" i="2"/>
  <c r="L320" i="2"/>
  <c r="L318" i="2" s="1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P305" i="2"/>
  <c r="O305" i="2"/>
  <c r="N303" i="2"/>
  <c r="N301" i="2" s="1"/>
  <c r="M303" i="2"/>
  <c r="M301" i="2" s="1"/>
  <c r="L303" i="2"/>
  <c r="P302" i="2"/>
  <c r="O302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75" i="2" s="1"/>
  <c r="I287" i="2"/>
  <c r="I276" i="2" s="1"/>
  <c r="K276" i="2" s="1"/>
  <c r="N285" i="2"/>
  <c r="N283" i="2" s="1"/>
  <c r="M285" i="2"/>
  <c r="M283" i="2" s="1"/>
  <c r="P283" i="2" s="1"/>
  <c r="L285" i="2"/>
  <c r="L283" i="2" s="1"/>
  <c r="O283" i="2" s="1"/>
  <c r="P284" i="2"/>
  <c r="O284" i="2"/>
  <c r="N282" i="2"/>
  <c r="M282" i="2"/>
  <c r="M280" i="2" s="1"/>
  <c r="L282" i="2"/>
  <c r="L280" i="2" s="1"/>
  <c r="P281" i="2"/>
  <c r="O281" i="2"/>
  <c r="O278" i="2"/>
  <c r="N278" i="2"/>
  <c r="M278" i="2"/>
  <c r="P278" i="2" s="1"/>
  <c r="L278" i="2"/>
  <c r="J276" i="2"/>
  <c r="I271" i="2"/>
  <c r="K271" i="2" s="1"/>
  <c r="N269" i="2"/>
  <c r="N267" i="2" s="1"/>
  <c r="M269" i="2"/>
  <c r="L269" i="2"/>
  <c r="P268" i="2"/>
  <c r="O268" i="2"/>
  <c r="N266" i="2"/>
  <c r="N264" i="2" s="1"/>
  <c r="M266" i="2"/>
  <c r="M264" i="2" s="1"/>
  <c r="P264" i="2" s="1"/>
  <c r="L266" i="2"/>
  <c r="P265" i="2"/>
  <c r="O265" i="2"/>
  <c r="P262" i="2"/>
  <c r="O262" i="2"/>
  <c r="N262" i="2"/>
  <c r="M262" i="2"/>
  <c r="L262" i="2"/>
  <c r="J260" i="2"/>
  <c r="K258" i="2"/>
  <c r="K257" i="2"/>
  <c r="I255" i="2"/>
  <c r="I248" i="2" s="1"/>
  <c r="K248" i="2" s="1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J237" i="2"/>
  <c r="J236" i="2"/>
  <c r="K236" i="2" s="1"/>
  <c r="I236" i="2"/>
  <c r="J235" i="2"/>
  <c r="I235" i="2"/>
  <c r="J233" i="2"/>
  <c r="N231" i="2"/>
  <c r="N230" i="2"/>
  <c r="N229" i="2"/>
  <c r="N228" i="2"/>
  <c r="N227" i="2"/>
  <c r="I225" i="2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M189" i="2"/>
  <c r="M187" i="2" s="1"/>
  <c r="P187" i="2" s="1"/>
  <c r="L189" i="2"/>
  <c r="P188" i="2"/>
  <c r="O188" i="2"/>
  <c r="N186" i="2"/>
  <c r="N184" i="2" s="1"/>
  <c r="M186" i="2"/>
  <c r="M184" i="2" s="1"/>
  <c r="L186" i="2"/>
  <c r="L184" i="2" s="1"/>
  <c r="P185" i="2"/>
  <c r="O185" i="2"/>
  <c r="N182" i="2"/>
  <c r="M182" i="2"/>
  <c r="P182" i="2" s="1"/>
  <c r="L182" i="2"/>
  <c r="J177" i="2"/>
  <c r="J164" i="2" s="1"/>
  <c r="I176" i="2"/>
  <c r="I174" i="2" s="1"/>
  <c r="J174" i="2"/>
  <c r="N173" i="2"/>
  <c r="N171" i="2" s="1"/>
  <c r="M173" i="2"/>
  <c r="L173" i="2"/>
  <c r="L171" i="2" s="1"/>
  <c r="O171" i="2" s="1"/>
  <c r="P172" i="2"/>
  <c r="O172" i="2"/>
  <c r="N170" i="2"/>
  <c r="N168" i="2" s="1"/>
  <c r="M170" i="2"/>
  <c r="M168" i="2" s="1"/>
  <c r="L170" i="2"/>
  <c r="P169" i="2"/>
  <c r="O169" i="2"/>
  <c r="N166" i="2"/>
  <c r="M166" i="2"/>
  <c r="L166" i="2"/>
  <c r="O166" i="2" s="1"/>
  <c r="I159" i="2"/>
  <c r="K159" i="2" s="1"/>
  <c r="N157" i="2"/>
  <c r="N155" i="2" s="1"/>
  <c r="M157" i="2"/>
  <c r="P157" i="2" s="1"/>
  <c r="L157" i="2"/>
  <c r="L155" i="2" s="1"/>
  <c r="O155" i="2" s="1"/>
  <c r="P156" i="2"/>
  <c r="O156" i="2"/>
  <c r="N154" i="2"/>
  <c r="N152" i="2" s="1"/>
  <c r="M154" i="2"/>
  <c r="L154" i="2"/>
  <c r="L152" i="2" s="1"/>
  <c r="P153" i="2"/>
  <c r="O153" i="2"/>
  <c r="P150" i="2"/>
  <c r="O150" i="2"/>
  <c r="N150" i="2"/>
  <c r="M150" i="2"/>
  <c r="L150" i="2"/>
  <c r="J148" i="2"/>
  <c r="I146" i="2"/>
  <c r="K146" i="2" s="1"/>
  <c r="I145" i="2"/>
  <c r="I143" i="2" s="1"/>
  <c r="I144" i="2"/>
  <c r="N140" i="2"/>
  <c r="M140" i="2"/>
  <c r="P140" i="2" s="1"/>
  <c r="L140" i="2"/>
  <c r="L138" i="2" s="1"/>
  <c r="O138" i="2" s="1"/>
  <c r="P139" i="2"/>
  <c r="O139" i="2"/>
  <c r="N137" i="2"/>
  <c r="N135" i="2" s="1"/>
  <c r="M137" i="2"/>
  <c r="L137" i="2"/>
  <c r="P136" i="2"/>
  <c r="O136" i="2"/>
  <c r="N133" i="2"/>
  <c r="M133" i="2"/>
  <c r="L133" i="2"/>
  <c r="O133" i="2" s="1"/>
  <c r="J130" i="2"/>
  <c r="N127" i="2"/>
  <c r="N125" i="2" s="1"/>
  <c r="M127" i="2"/>
  <c r="P127" i="2" s="1"/>
  <c r="L127" i="2"/>
  <c r="L125" i="2" s="1"/>
  <c r="O125" i="2" s="1"/>
  <c r="P126" i="2"/>
  <c r="O126" i="2"/>
  <c r="N124" i="2"/>
  <c r="M124" i="2"/>
  <c r="P124" i="2" s="1"/>
  <c r="L124" i="2"/>
  <c r="P123" i="2"/>
  <c r="O123" i="2"/>
  <c r="P120" i="2"/>
  <c r="O120" i="2"/>
  <c r="N120" i="2"/>
  <c r="M120" i="2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J98" i="2"/>
  <c r="I98" i="2"/>
  <c r="N96" i="2"/>
  <c r="N94" i="2" s="1"/>
  <c r="M96" i="2"/>
  <c r="M94" i="2" s="1"/>
  <c r="P94" i="2" s="1"/>
  <c r="L96" i="2"/>
  <c r="L94" i="2" s="1"/>
  <c r="O94" i="2" s="1"/>
  <c r="P95" i="2"/>
  <c r="O95" i="2"/>
  <c r="N93" i="2"/>
  <c r="M93" i="2"/>
  <c r="L93" i="2"/>
  <c r="L91" i="2" s="1"/>
  <c r="P92" i="2"/>
  <c r="O92" i="2"/>
  <c r="O89" i="2"/>
  <c r="N89" i="2"/>
  <c r="M89" i="2"/>
  <c r="P89" i="2" s="1"/>
  <c r="L89" i="2"/>
  <c r="J86" i="2"/>
  <c r="I84" i="2"/>
  <c r="K84" i="2" s="1"/>
  <c r="I83" i="2"/>
  <c r="K83" i="2" s="1"/>
  <c r="I82" i="2"/>
  <c r="K82" i="2" s="1"/>
  <c r="I81" i="2"/>
  <c r="K81" i="2" s="1"/>
  <c r="I80" i="2"/>
  <c r="I79" i="2"/>
  <c r="K79" i="2" s="1"/>
  <c r="I78" i="2"/>
  <c r="K78" i="2" s="1"/>
  <c r="J77" i="2"/>
  <c r="J65" i="2" s="1"/>
  <c r="J76" i="2"/>
  <c r="N74" i="2"/>
  <c r="N72" i="2" s="1"/>
  <c r="M74" i="2"/>
  <c r="M72" i="2" s="1"/>
  <c r="P72" i="2" s="1"/>
  <c r="L74" i="2"/>
  <c r="L72" i="2" s="1"/>
  <c r="O72" i="2" s="1"/>
  <c r="P73" i="2"/>
  <c r="O73" i="2"/>
  <c r="N71" i="2"/>
  <c r="N69" i="2" s="1"/>
  <c r="M71" i="2"/>
  <c r="M69" i="2" s="1"/>
  <c r="P69" i="2" s="1"/>
  <c r="L71" i="2"/>
  <c r="L69" i="2" s="1"/>
  <c r="O69" i="2" s="1"/>
  <c r="P70" i="2"/>
  <c r="O70" i="2"/>
  <c r="N67" i="2"/>
  <c r="M67" i="2"/>
  <c r="P67" i="2" s="1"/>
  <c r="L67" i="2"/>
  <c r="O67" i="2" s="1"/>
  <c r="J64" i="2"/>
  <c r="N61" i="2"/>
  <c r="N59" i="2" s="1"/>
  <c r="M61" i="2"/>
  <c r="L61" i="2"/>
  <c r="P60" i="2"/>
  <c r="O60" i="2"/>
  <c r="N58" i="2"/>
  <c r="M58" i="2"/>
  <c r="L58" i="2"/>
  <c r="P57" i="2"/>
  <c r="O57" i="2"/>
  <c r="P54" i="2"/>
  <c r="O54" i="2"/>
  <c r="N54" i="2"/>
  <c r="M54" i="2"/>
  <c r="L54" i="2"/>
  <c r="N49" i="2"/>
  <c r="N47" i="2" s="1"/>
  <c r="M49" i="2"/>
  <c r="M47" i="2" s="1"/>
  <c r="P47" i="2" s="1"/>
  <c r="L49" i="2"/>
  <c r="L47" i="2" s="1"/>
  <c r="O47" i="2" s="1"/>
  <c r="P48" i="2"/>
  <c r="O48" i="2"/>
  <c r="N46" i="2"/>
  <c r="M46" i="2"/>
  <c r="L46" i="2"/>
  <c r="L44" i="2" s="1"/>
  <c r="P45" i="2"/>
  <c r="O45" i="2"/>
  <c r="N42" i="2"/>
  <c r="M42" i="2"/>
  <c r="P42" i="2" s="1"/>
  <c r="L42" i="2"/>
  <c r="O42" i="2" s="1"/>
  <c r="P36" i="2"/>
  <c r="N36" i="2"/>
  <c r="M36" i="2"/>
  <c r="P35" i="2"/>
  <c r="O35" i="2"/>
  <c r="N35" i="2"/>
  <c r="M35" i="2"/>
  <c r="L35" i="2"/>
  <c r="N34" i="2"/>
  <c r="M34" i="2"/>
  <c r="P34" i="2" s="1"/>
  <c r="N33" i="2"/>
  <c r="N30" i="2" s="1"/>
  <c r="M33" i="2"/>
  <c r="N32" i="2"/>
  <c r="N31" i="2" s="1"/>
  <c r="M32" i="2"/>
  <c r="L32" i="2"/>
  <c r="N29" i="2"/>
  <c r="N28" i="2"/>
  <c r="N25" i="2"/>
  <c r="M25" i="2"/>
  <c r="L25" i="2"/>
  <c r="P22" i="2"/>
  <c r="O22" i="2"/>
  <c r="N22" i="2"/>
  <c r="N19" i="2" s="1"/>
  <c r="M22" i="2"/>
  <c r="L22" i="2"/>
  <c r="L19" i="2"/>
  <c r="O19" i="2" s="1"/>
  <c r="N15" i="2"/>
  <c r="M12" i="2"/>
  <c r="L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P817" i="1"/>
  <c r="O817" i="1"/>
  <c r="P816" i="1"/>
  <c r="O816" i="1"/>
  <c r="N815" i="1"/>
  <c r="M815" i="1"/>
  <c r="P815" i="1" s="1"/>
  <c r="L815" i="1"/>
  <c r="O815" i="1" s="1"/>
  <c r="P810" i="1"/>
  <c r="O810" i="1"/>
  <c r="N810" i="1"/>
  <c r="N807" i="1" s="1"/>
  <c r="P809" i="1"/>
  <c r="O809" i="1"/>
  <c r="P808" i="1"/>
  <c r="M808" i="1"/>
  <c r="L808" i="1"/>
  <c r="O808" i="1" s="1"/>
  <c r="P807" i="1"/>
  <c r="O807" i="1"/>
  <c r="M807" i="1"/>
  <c r="L807" i="1"/>
  <c r="P806" i="1"/>
  <c r="O806" i="1"/>
  <c r="N806" i="1"/>
  <c r="N805" i="1" s="1"/>
  <c r="M806" i="1"/>
  <c r="L806" i="1"/>
  <c r="L805" i="1" s="1"/>
  <c r="O805" i="1" s="1"/>
  <c r="M805" i="1"/>
  <c r="P805" i="1" s="1"/>
  <c r="K804" i="1"/>
  <c r="J804" i="1"/>
  <c r="K802" i="1"/>
  <c r="J801" i="1"/>
  <c r="J800" i="1"/>
  <c r="J785" i="1" s="1"/>
  <c r="I800" i="1"/>
  <c r="I785" i="1" s="1"/>
  <c r="P798" i="1"/>
  <c r="O798" i="1"/>
  <c r="P797" i="1"/>
  <c r="O797" i="1"/>
  <c r="P796" i="1"/>
  <c r="N796" i="1"/>
  <c r="M796" i="1"/>
  <c r="L796" i="1"/>
  <c r="O796" i="1" s="1"/>
  <c r="N795" i="1"/>
  <c r="N794" i="1"/>
  <c r="N793" i="1"/>
  <c r="N792" i="1"/>
  <c r="P791" i="1"/>
  <c r="L791" i="1"/>
  <c r="L788" i="1" s="1"/>
  <c r="P790" i="1"/>
  <c r="O790" i="1"/>
  <c r="M789" i="1"/>
  <c r="P789" i="1" s="1"/>
  <c r="M788" i="1"/>
  <c r="P788" i="1" s="1"/>
  <c r="N787" i="1"/>
  <c r="M787" i="1"/>
  <c r="L787" i="1"/>
  <c r="P782" i="1"/>
  <c r="O782" i="1"/>
  <c r="P781" i="1"/>
  <c r="O781" i="1"/>
  <c r="P780" i="1"/>
  <c r="N780" i="1"/>
  <c r="M780" i="1"/>
  <c r="L780" i="1"/>
  <c r="O780" i="1" s="1"/>
  <c r="P775" i="1"/>
  <c r="O775" i="1"/>
  <c r="N775" i="1"/>
  <c r="P774" i="1"/>
  <c r="O774" i="1"/>
  <c r="P773" i="1"/>
  <c r="O773" i="1"/>
  <c r="N773" i="1"/>
  <c r="M773" i="1"/>
  <c r="L773" i="1"/>
  <c r="O772" i="1"/>
  <c r="N772" i="1"/>
  <c r="M772" i="1"/>
  <c r="P772" i="1" s="1"/>
  <c r="L772" i="1"/>
  <c r="N771" i="1"/>
  <c r="N770" i="1" s="1"/>
  <c r="M771" i="1"/>
  <c r="L771" i="1"/>
  <c r="O771" i="1" s="1"/>
  <c r="L770" i="1"/>
  <c r="O770" i="1" s="1"/>
  <c r="K769" i="1"/>
  <c r="J769" i="1"/>
  <c r="P766" i="1"/>
  <c r="O766" i="1"/>
  <c r="P765" i="1"/>
  <c r="O765" i="1"/>
  <c r="P764" i="1"/>
  <c r="N764" i="1"/>
  <c r="M764" i="1"/>
  <c r="L764" i="1"/>
  <c r="O764" i="1" s="1"/>
  <c r="P759" i="1"/>
  <c r="O759" i="1"/>
  <c r="N759" i="1"/>
  <c r="P758" i="1"/>
  <c r="O758" i="1"/>
  <c r="P757" i="1"/>
  <c r="O757" i="1"/>
  <c r="N757" i="1"/>
  <c r="M757" i="1"/>
  <c r="L757" i="1"/>
  <c r="O756" i="1"/>
  <c r="N756" i="1"/>
  <c r="M756" i="1"/>
  <c r="P756" i="1" s="1"/>
  <c r="L756" i="1"/>
  <c r="N755" i="1"/>
  <c r="N754" i="1" s="1"/>
  <c r="M755" i="1"/>
  <c r="L755" i="1"/>
  <c r="O755" i="1" s="1"/>
  <c r="L754" i="1"/>
  <c r="O754" i="1" s="1"/>
  <c r="K753" i="1"/>
  <c r="J753" i="1"/>
  <c r="P749" i="1"/>
  <c r="O749" i="1"/>
  <c r="P748" i="1"/>
  <c r="O748" i="1"/>
  <c r="P747" i="1"/>
  <c r="N747" i="1"/>
  <c r="M747" i="1"/>
  <c r="L747" i="1"/>
  <c r="O747" i="1" s="1"/>
  <c r="P742" i="1"/>
  <c r="O742" i="1"/>
  <c r="N742" i="1"/>
  <c r="P741" i="1"/>
  <c r="O741" i="1"/>
  <c r="P740" i="1"/>
  <c r="O740" i="1"/>
  <c r="N740" i="1"/>
  <c r="M740" i="1"/>
  <c r="L740" i="1"/>
  <c r="O739" i="1"/>
  <c r="N739" i="1"/>
  <c r="M739" i="1"/>
  <c r="P739" i="1" s="1"/>
  <c r="L739" i="1"/>
  <c r="N738" i="1"/>
  <c r="M738" i="1"/>
  <c r="L738" i="1"/>
  <c r="O738" i="1" s="1"/>
  <c r="L737" i="1"/>
  <c r="O737" i="1" s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O695" i="1"/>
  <c r="N695" i="1"/>
  <c r="M695" i="1"/>
  <c r="P695" i="1" s="1"/>
  <c r="L695" i="1"/>
  <c r="N694" i="1"/>
  <c r="N693" i="1"/>
  <c r="N692" i="1"/>
  <c r="N691" i="1"/>
  <c r="P690" i="1"/>
  <c r="L690" i="1"/>
  <c r="P688" i="1"/>
  <c r="M688" i="1"/>
  <c r="M687" i="1"/>
  <c r="P687" i="1" s="1"/>
  <c r="N686" i="1"/>
  <c r="M686" i="1"/>
  <c r="P686" i="1" s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5" i="1"/>
  <c r="M665" i="1"/>
  <c r="P665" i="1" s="1"/>
  <c r="L665" i="1"/>
  <c r="O665" i="1" s="1"/>
  <c r="N664" i="1"/>
  <c r="N663" i="1"/>
  <c r="N662" i="1"/>
  <c r="N661" i="1"/>
  <c r="P660" i="1"/>
  <c r="L660" i="1"/>
  <c r="L657" i="1" s="1"/>
  <c r="P659" i="1"/>
  <c r="O659" i="1"/>
  <c r="P658" i="1"/>
  <c r="M658" i="1"/>
  <c r="M657" i="1"/>
  <c r="N656" i="1"/>
  <c r="M656" i="1"/>
  <c r="P656" i="1" s="1"/>
  <c r="L656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L639" i="1" s="1"/>
  <c r="O639" i="1" s="1"/>
  <c r="P640" i="1"/>
  <c r="O640" i="1"/>
  <c r="P639" i="1"/>
  <c r="N639" i="1"/>
  <c r="M639" i="1"/>
  <c r="N638" i="1"/>
  <c r="N637" i="1"/>
  <c r="N636" i="1"/>
  <c r="N635" i="1"/>
  <c r="P634" i="1"/>
  <c r="L634" i="1"/>
  <c r="P633" i="1"/>
  <c r="O633" i="1"/>
  <c r="M632" i="1"/>
  <c r="P632" i="1" s="1"/>
  <c r="P631" i="1"/>
  <c r="M631" i="1"/>
  <c r="M629" i="1" s="1"/>
  <c r="P630" i="1"/>
  <c r="O630" i="1"/>
  <c r="N630" i="1"/>
  <c r="M630" i="1"/>
  <c r="L630" i="1"/>
  <c r="P629" i="1"/>
  <c r="J627" i="1"/>
  <c r="J626" i="1"/>
  <c r="J625" i="1"/>
  <c r="J624" i="1"/>
  <c r="J623" i="1"/>
  <c r="J622" i="1"/>
  <c r="I621" i="1"/>
  <c r="K621" i="1" s="1"/>
  <c r="I620" i="1"/>
  <c r="K620" i="1" s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P555" i="1"/>
  <c r="N555" i="1"/>
  <c r="M555" i="1"/>
  <c r="N554" i="1"/>
  <c r="N553" i="1"/>
  <c r="N552" i="1"/>
  <c r="N551" i="1"/>
  <c r="N550" i="1"/>
  <c r="P549" i="1"/>
  <c r="L549" i="1"/>
  <c r="P548" i="1"/>
  <c r="O548" i="1"/>
  <c r="M547" i="1"/>
  <c r="P547" i="1" s="1"/>
  <c r="M546" i="1"/>
  <c r="P546" i="1" s="1"/>
  <c r="N545" i="1"/>
  <c r="M545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I537" i="1"/>
  <c r="P535" i="1"/>
  <c r="L535" i="1"/>
  <c r="P534" i="1"/>
  <c r="O534" i="1"/>
  <c r="N533" i="1"/>
  <c r="M533" i="1"/>
  <c r="P533" i="1" s="1"/>
  <c r="N532" i="1"/>
  <c r="N531" i="1"/>
  <c r="N530" i="1"/>
  <c r="N529" i="1"/>
  <c r="P528" i="1"/>
  <c r="L528" i="1"/>
  <c r="P527" i="1"/>
  <c r="O527" i="1"/>
  <c r="P526" i="1"/>
  <c r="M526" i="1"/>
  <c r="M525" i="1"/>
  <c r="P525" i="1" s="1"/>
  <c r="P524" i="1"/>
  <c r="N524" i="1"/>
  <c r="M524" i="1"/>
  <c r="L524" i="1"/>
  <c r="M523" i="1"/>
  <c r="P523" i="1" s="1"/>
  <c r="K517" i="1"/>
  <c r="J517" i="1"/>
  <c r="J501" i="1" s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P506" i="1"/>
  <c r="O506" i="1"/>
  <c r="P505" i="1"/>
  <c r="N505" i="1"/>
  <c r="M505" i="1"/>
  <c r="L505" i="1"/>
  <c r="O505" i="1" s="1"/>
  <c r="O504" i="1"/>
  <c r="N504" i="1"/>
  <c r="N502" i="1" s="1"/>
  <c r="M504" i="1"/>
  <c r="P504" i="1" s="1"/>
  <c r="L504" i="1"/>
  <c r="P503" i="1"/>
  <c r="N503" i="1"/>
  <c r="M503" i="1"/>
  <c r="L503" i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N477" i="1"/>
  <c r="M477" i="1"/>
  <c r="P477" i="1" s="1"/>
  <c r="N476" i="1"/>
  <c r="N475" i="1"/>
  <c r="N474" i="1"/>
  <c r="N473" i="1"/>
  <c r="P472" i="1"/>
  <c r="L472" i="1"/>
  <c r="L470" i="1" s="1"/>
  <c r="P471" i="1"/>
  <c r="O471" i="1"/>
  <c r="P470" i="1"/>
  <c r="M470" i="1"/>
  <c r="O469" i="1"/>
  <c r="M469" i="1"/>
  <c r="P469" i="1" s="1"/>
  <c r="P468" i="1"/>
  <c r="N468" i="1"/>
  <c r="M468" i="1"/>
  <c r="O468" i="1" s="1"/>
  <c r="L468" i="1"/>
  <c r="O467" i="1"/>
  <c r="M467" i="1"/>
  <c r="P467" i="1" s="1"/>
  <c r="L467" i="1"/>
  <c r="I466" i="1"/>
  <c r="I465" i="1"/>
  <c r="J464" i="1"/>
  <c r="I464" i="1"/>
  <c r="J463" i="1"/>
  <c r="I463" i="1"/>
  <c r="J462" i="1"/>
  <c r="J443" i="1" s="1"/>
  <c r="I462" i="1"/>
  <c r="J460" i="1"/>
  <c r="I460" i="1"/>
  <c r="I442" i="1" s="1"/>
  <c r="K458" i="1"/>
  <c r="P456" i="1"/>
  <c r="L456" i="1"/>
  <c r="O456" i="1" s="1"/>
  <c r="P455" i="1"/>
  <c r="O455" i="1"/>
  <c r="P454" i="1"/>
  <c r="N454" i="1"/>
  <c r="M454" i="1"/>
  <c r="N453" i="1"/>
  <c r="N452" i="1"/>
  <c r="N451" i="1"/>
  <c r="N450" i="1"/>
  <c r="P449" i="1"/>
  <c r="L449" i="1"/>
  <c r="L447" i="1" s="1"/>
  <c r="P448" i="1"/>
  <c r="O448" i="1"/>
  <c r="M447" i="1"/>
  <c r="P447" i="1" s="1"/>
  <c r="M446" i="1"/>
  <c r="P446" i="1" s="1"/>
  <c r="N445" i="1"/>
  <c r="M445" i="1"/>
  <c r="L445" i="1"/>
  <c r="O445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P430" i="1"/>
  <c r="O430" i="1"/>
  <c r="P429" i="1"/>
  <c r="N429" i="1"/>
  <c r="M429" i="1"/>
  <c r="N428" i="1"/>
  <c r="N427" i="1"/>
  <c r="N426" i="1"/>
  <c r="N425" i="1"/>
  <c r="P424" i="1"/>
  <c r="L424" i="1"/>
  <c r="P423" i="1"/>
  <c r="O423" i="1"/>
  <c r="P422" i="1"/>
  <c r="M422" i="1"/>
  <c r="M421" i="1"/>
  <c r="P421" i="1" s="1"/>
  <c r="P420" i="1"/>
  <c r="N420" i="1"/>
  <c r="M420" i="1"/>
  <c r="L420" i="1"/>
  <c r="O420" i="1" s="1"/>
  <c r="M419" i="1"/>
  <c r="P419" i="1" s="1"/>
  <c r="J413" i="1"/>
  <c r="I413" i="1"/>
  <c r="K413" i="1" s="1"/>
  <c r="J412" i="1"/>
  <c r="J401" i="1" s="1"/>
  <c r="I412" i="1"/>
  <c r="N410" i="1"/>
  <c r="N408" i="1" s="1"/>
  <c r="M410" i="1"/>
  <c r="L410" i="1"/>
  <c r="O410" i="1" s="1"/>
  <c r="P409" i="1"/>
  <c r="O409" i="1"/>
  <c r="N407" i="1"/>
  <c r="N405" i="1" s="1"/>
  <c r="M407" i="1"/>
  <c r="L407" i="1"/>
  <c r="L405" i="1" s="1"/>
  <c r="O405" i="1" s="1"/>
  <c r="P406" i="1"/>
  <c r="O406" i="1"/>
  <c r="N403" i="1"/>
  <c r="M403" i="1"/>
  <c r="P403" i="1" s="1"/>
  <c r="L403" i="1"/>
  <c r="O403" i="1" s="1"/>
  <c r="J400" i="1"/>
  <c r="J388" i="1" s="1"/>
  <c r="I400" i="1"/>
  <c r="K400" i="1" s="1"/>
  <c r="J399" i="1"/>
  <c r="I399" i="1"/>
  <c r="K399" i="1" s="1"/>
  <c r="N397" i="1"/>
  <c r="N395" i="1" s="1"/>
  <c r="M397" i="1"/>
  <c r="L397" i="1"/>
  <c r="O397" i="1" s="1"/>
  <c r="P396" i="1"/>
  <c r="O396" i="1"/>
  <c r="N394" i="1"/>
  <c r="M394" i="1"/>
  <c r="L394" i="1"/>
  <c r="P393" i="1"/>
  <c r="O393" i="1"/>
  <c r="N390" i="1"/>
  <c r="M390" i="1"/>
  <c r="P390" i="1" s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L351" i="1" s="1"/>
  <c r="P352" i="1"/>
  <c r="O352" i="1"/>
  <c r="N350" i="1"/>
  <c r="N348" i="1" s="1"/>
  <c r="M350" i="1"/>
  <c r="M348" i="1" s="1"/>
  <c r="L350" i="1"/>
  <c r="P349" i="1"/>
  <c r="O349" i="1"/>
  <c r="P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L336" i="1"/>
  <c r="P335" i="1"/>
  <c r="O335" i="1"/>
  <c r="N333" i="1"/>
  <c r="N331" i="1" s="1"/>
  <c r="M333" i="1"/>
  <c r="M331" i="1" s="1"/>
  <c r="L333" i="1"/>
  <c r="P332" i="1"/>
  <c r="O332" i="1"/>
  <c r="P329" i="1"/>
  <c r="N329" i="1"/>
  <c r="M329" i="1"/>
  <c r="L329" i="1"/>
  <c r="P328" i="1"/>
  <c r="I327" i="1"/>
  <c r="J325" i="1"/>
  <c r="J314" i="1" s="1"/>
  <c r="I325" i="1"/>
  <c r="P323" i="1"/>
  <c r="N323" i="1"/>
  <c r="N321" i="1" s="1"/>
  <c r="M323" i="1"/>
  <c r="L323" i="1"/>
  <c r="P322" i="1"/>
  <c r="O322" i="1"/>
  <c r="P321" i="1"/>
  <c r="M321" i="1"/>
  <c r="P320" i="1"/>
  <c r="N320" i="1"/>
  <c r="N318" i="1" s="1"/>
  <c r="M320" i="1"/>
  <c r="L320" i="1"/>
  <c r="P319" i="1"/>
  <c r="O319" i="1"/>
  <c r="M318" i="1"/>
  <c r="P318" i="1" s="1"/>
  <c r="P317" i="1"/>
  <c r="M317" i="1"/>
  <c r="O316" i="1"/>
  <c r="N316" i="1"/>
  <c r="M316" i="1"/>
  <c r="P316" i="1" s="1"/>
  <c r="L316" i="1"/>
  <c r="M315" i="1"/>
  <c r="P315" i="1" s="1"/>
  <c r="J312" i="1"/>
  <c r="I312" i="1"/>
  <c r="J311" i="1"/>
  <c r="I311" i="1"/>
  <c r="J310" i="1"/>
  <c r="I310" i="1"/>
  <c r="J309" i="1"/>
  <c r="J297" i="1" s="1"/>
  <c r="I309" i="1"/>
  <c r="J308" i="1"/>
  <c r="N306" i="1"/>
  <c r="N304" i="1" s="1"/>
  <c r="M306" i="1"/>
  <c r="P306" i="1" s="1"/>
  <c r="L306" i="1"/>
  <c r="P305" i="1"/>
  <c r="O305" i="1"/>
  <c r="N303" i="1"/>
  <c r="M303" i="1"/>
  <c r="L303" i="1"/>
  <c r="L301" i="1" s="1"/>
  <c r="P302" i="1"/>
  <c r="O302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I288" i="1"/>
  <c r="I275" i="1" s="1"/>
  <c r="J287" i="1"/>
  <c r="J276" i="1" s="1"/>
  <c r="I287" i="1"/>
  <c r="I276" i="1" s="1"/>
  <c r="N285" i="1"/>
  <c r="M285" i="1"/>
  <c r="L285" i="1"/>
  <c r="L283" i="1" s="1"/>
  <c r="O283" i="1" s="1"/>
  <c r="P284" i="1"/>
  <c r="O284" i="1"/>
  <c r="N282" i="1"/>
  <c r="N280" i="1" s="1"/>
  <c r="M282" i="1"/>
  <c r="L282" i="1"/>
  <c r="P281" i="1"/>
  <c r="O281" i="1"/>
  <c r="N278" i="1"/>
  <c r="M278" i="1"/>
  <c r="P278" i="1" s="1"/>
  <c r="L278" i="1"/>
  <c r="J271" i="1"/>
  <c r="J260" i="1" s="1"/>
  <c r="I271" i="1"/>
  <c r="I260" i="1" s="1"/>
  <c r="N269" i="1"/>
  <c r="N267" i="1" s="1"/>
  <c r="M269" i="1"/>
  <c r="L269" i="1"/>
  <c r="P268" i="1"/>
  <c r="O268" i="1"/>
  <c r="N266" i="1"/>
  <c r="N264" i="1" s="1"/>
  <c r="M266" i="1"/>
  <c r="M264" i="1" s="1"/>
  <c r="L266" i="1"/>
  <c r="L264" i="1" s="1"/>
  <c r="P265" i="1"/>
  <c r="O265" i="1"/>
  <c r="N262" i="1"/>
  <c r="M262" i="1"/>
  <c r="P262" i="1" s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M187" i="1" s="1"/>
  <c r="P187" i="1" s="1"/>
  <c r="L189" i="1"/>
  <c r="O189" i="1" s="1"/>
  <c r="P188" i="1"/>
  <c r="O188" i="1"/>
  <c r="N186" i="1"/>
  <c r="M186" i="1"/>
  <c r="L186" i="1"/>
  <c r="L184" i="1" s="1"/>
  <c r="P185" i="1"/>
  <c r="O185" i="1"/>
  <c r="O182" i="1"/>
  <c r="N182" i="1"/>
  <c r="M182" i="1"/>
  <c r="P182" i="1" s="1"/>
  <c r="L182" i="1"/>
  <c r="K180" i="1"/>
  <c r="J177" i="1"/>
  <c r="J176" i="1"/>
  <c r="J174" i="1" s="1"/>
  <c r="I176" i="1"/>
  <c r="N173" i="1"/>
  <c r="N171" i="1" s="1"/>
  <c r="M173" i="1"/>
  <c r="M171" i="1" s="1"/>
  <c r="P171" i="1" s="1"/>
  <c r="L173" i="1"/>
  <c r="L171" i="1" s="1"/>
  <c r="O171" i="1" s="1"/>
  <c r="P172" i="1"/>
  <c r="O172" i="1"/>
  <c r="N170" i="1"/>
  <c r="M170" i="1"/>
  <c r="L170" i="1"/>
  <c r="L168" i="1" s="1"/>
  <c r="P169" i="1"/>
  <c r="O169" i="1"/>
  <c r="N166" i="1"/>
  <c r="M166" i="1"/>
  <c r="P166" i="1" s="1"/>
  <c r="L166" i="1"/>
  <c r="J159" i="1"/>
  <c r="J148" i="1" s="1"/>
  <c r="I159" i="1"/>
  <c r="N157" i="1"/>
  <c r="N155" i="1" s="1"/>
  <c r="M157" i="1"/>
  <c r="P157" i="1" s="1"/>
  <c r="L157" i="1"/>
  <c r="P156" i="1"/>
  <c r="O156" i="1"/>
  <c r="N154" i="1"/>
  <c r="M154" i="1"/>
  <c r="M152" i="1" s="1"/>
  <c r="L154" i="1"/>
  <c r="L152" i="1" s="1"/>
  <c r="P153" i="1"/>
  <c r="O153" i="1"/>
  <c r="O150" i="1"/>
  <c r="N150" i="1"/>
  <c r="M150" i="1"/>
  <c r="L150" i="1"/>
  <c r="J146" i="1"/>
  <c r="J130" i="1" s="1"/>
  <c r="I146" i="1"/>
  <c r="J145" i="1"/>
  <c r="I145" i="1"/>
  <c r="I143" i="1" s="1"/>
  <c r="I131" i="1" s="1"/>
  <c r="J144" i="1"/>
  <c r="I144" i="1"/>
  <c r="J142" i="1"/>
  <c r="N140" i="1"/>
  <c r="N138" i="1" s="1"/>
  <c r="M140" i="1"/>
  <c r="L140" i="1"/>
  <c r="L138" i="1" s="1"/>
  <c r="P139" i="1"/>
  <c r="O139" i="1"/>
  <c r="N137" i="1"/>
  <c r="N135" i="1" s="1"/>
  <c r="M137" i="1"/>
  <c r="L137" i="1"/>
  <c r="P136" i="1"/>
  <c r="O136" i="1"/>
  <c r="P133" i="1"/>
  <c r="N133" i="1"/>
  <c r="M133" i="1"/>
  <c r="L133" i="1"/>
  <c r="O133" i="1" s="1"/>
  <c r="N127" i="1"/>
  <c r="N125" i="1" s="1"/>
  <c r="M127" i="1"/>
  <c r="L127" i="1"/>
  <c r="L125" i="1" s="1"/>
  <c r="P126" i="1"/>
  <c r="O126" i="1"/>
  <c r="N124" i="1"/>
  <c r="N122" i="1" s="1"/>
  <c r="M124" i="1"/>
  <c r="L124" i="1"/>
  <c r="P123" i="1"/>
  <c r="O123" i="1"/>
  <c r="N120" i="1"/>
  <c r="M120" i="1"/>
  <c r="L120" i="1"/>
  <c r="O120" i="1" s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I104" i="1"/>
  <c r="J103" i="1"/>
  <c r="I103" i="1"/>
  <c r="J102" i="1"/>
  <c r="I102" i="1"/>
  <c r="I100" i="1"/>
  <c r="I99" i="1"/>
  <c r="I87" i="1" s="1"/>
  <c r="I98" i="1"/>
  <c r="N96" i="1"/>
  <c r="N94" i="1" s="1"/>
  <c r="M96" i="1"/>
  <c r="M94" i="1" s="1"/>
  <c r="P94" i="1" s="1"/>
  <c r="L96" i="1"/>
  <c r="O96" i="1" s="1"/>
  <c r="P95" i="1"/>
  <c r="O95" i="1"/>
  <c r="N93" i="1"/>
  <c r="N91" i="1" s="1"/>
  <c r="M93" i="1"/>
  <c r="M91" i="1" s="1"/>
  <c r="L93" i="1"/>
  <c r="P92" i="1"/>
  <c r="O92" i="1"/>
  <c r="P89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M72" i="1" s="1"/>
  <c r="P72" i="1" s="1"/>
  <c r="L74" i="1"/>
  <c r="O74" i="1" s="1"/>
  <c r="P73" i="1"/>
  <c r="O73" i="1"/>
  <c r="N71" i="1"/>
  <c r="M71" i="1"/>
  <c r="M69" i="1" s="1"/>
  <c r="L71" i="1"/>
  <c r="P70" i="1"/>
  <c r="O70" i="1"/>
  <c r="P67" i="1"/>
  <c r="O67" i="1"/>
  <c r="N67" i="1"/>
  <c r="M67" i="1"/>
  <c r="L67" i="1"/>
  <c r="N61" i="1"/>
  <c r="M61" i="1"/>
  <c r="M59" i="1" s="1"/>
  <c r="L61" i="1"/>
  <c r="L59" i="1" s="1"/>
  <c r="P60" i="1"/>
  <c r="O60" i="1"/>
  <c r="N58" i="1"/>
  <c r="M58" i="1"/>
  <c r="M56" i="1" s="1"/>
  <c r="L58" i="1"/>
  <c r="P57" i="1"/>
  <c r="O57" i="1"/>
  <c r="O54" i="1"/>
  <c r="N54" i="1"/>
  <c r="M54" i="1"/>
  <c r="L54" i="1"/>
  <c r="N49" i="1"/>
  <c r="N47" i="1" s="1"/>
  <c r="M49" i="1"/>
  <c r="M47" i="1" s="1"/>
  <c r="P47" i="1" s="1"/>
  <c r="L49" i="1"/>
  <c r="O49" i="1" s="1"/>
  <c r="P48" i="1"/>
  <c r="O48" i="1"/>
  <c r="N46" i="1"/>
  <c r="N44" i="1" s="1"/>
  <c r="M46" i="1"/>
  <c r="L46" i="1"/>
  <c r="L44" i="1" s="1"/>
  <c r="P45" i="1"/>
  <c r="O45" i="1"/>
  <c r="P42" i="1"/>
  <c r="N42" i="1"/>
  <c r="M42" i="1"/>
  <c r="L42" i="1"/>
  <c r="N36" i="1"/>
  <c r="M36" i="1"/>
  <c r="P36" i="1" s="1"/>
  <c r="N35" i="1"/>
  <c r="N34" i="1" s="1"/>
  <c r="M35" i="1"/>
  <c r="P35" i="1" s="1"/>
  <c r="L35" i="1"/>
  <c r="M34" i="1"/>
  <c r="P34" i="1" s="1"/>
  <c r="P33" i="1"/>
  <c r="M33" i="1"/>
  <c r="O32" i="1"/>
  <c r="N32" i="1"/>
  <c r="M32" i="1"/>
  <c r="L32" i="1"/>
  <c r="M31" i="1"/>
  <c r="P31" i="1" s="1"/>
  <c r="M30" i="1"/>
  <c r="P30" i="1" s="1"/>
  <c r="N29" i="1"/>
  <c r="M29" i="1"/>
  <c r="P29" i="1" s="1"/>
  <c r="P25" i="1"/>
  <c r="N25" i="1"/>
  <c r="M25" i="1"/>
  <c r="L25" i="1"/>
  <c r="O22" i="1"/>
  <c r="N22" i="1"/>
  <c r="M22" i="1"/>
  <c r="L22" i="1"/>
  <c r="L12" i="1" s="1"/>
  <c r="M15" i="1"/>
  <c r="P15" i="1" s="1"/>
  <c r="N12" i="1"/>
  <c r="L422" i="15" l="1"/>
  <c r="O422" i="15" s="1"/>
  <c r="L789" i="8"/>
  <c r="O789" i="8" s="1"/>
  <c r="L447" i="16"/>
  <c r="O447" i="16" s="1"/>
  <c r="L477" i="12"/>
  <c r="O477" i="12" s="1"/>
  <c r="I130" i="12"/>
  <c r="K130" i="12" s="1"/>
  <c r="L632" i="5"/>
  <c r="O632" i="5" s="1"/>
  <c r="N788" i="15"/>
  <c r="N786" i="15" s="1"/>
  <c r="N685" i="15"/>
  <c r="N658" i="15"/>
  <c r="M30" i="15"/>
  <c r="P30" i="15" s="1"/>
  <c r="L29" i="15"/>
  <c r="N12" i="15"/>
  <c r="N757" i="15"/>
  <c r="P807" i="15"/>
  <c r="N33" i="15"/>
  <c r="N30" i="15" s="1"/>
  <c r="N28" i="15" s="1"/>
  <c r="N773" i="15"/>
  <c r="N15" i="15"/>
  <c r="O660" i="15"/>
  <c r="M685" i="15"/>
  <c r="P685" i="15" s="1"/>
  <c r="P32" i="11"/>
  <c r="N757" i="11"/>
  <c r="P807" i="11"/>
  <c r="N12" i="11"/>
  <c r="M29" i="11"/>
  <c r="P29" i="11" s="1"/>
  <c r="N740" i="11"/>
  <c r="N658" i="11"/>
  <c r="P656" i="11"/>
  <c r="N737" i="11"/>
  <c r="N773" i="11"/>
  <c r="M15" i="11"/>
  <c r="P15" i="11" s="1"/>
  <c r="N33" i="11"/>
  <c r="N30" i="11" s="1"/>
  <c r="M685" i="11"/>
  <c r="P685" i="11" s="1"/>
  <c r="N786" i="11"/>
  <c r="N789" i="11"/>
  <c r="M34" i="11"/>
  <c r="P34" i="11" s="1"/>
  <c r="N687" i="11"/>
  <c r="N685" i="11" s="1"/>
  <c r="M786" i="11"/>
  <c r="P786" i="11" s="1"/>
  <c r="N770" i="11"/>
  <c r="L429" i="8"/>
  <c r="O429" i="8" s="1"/>
  <c r="L632" i="10"/>
  <c r="O632" i="10" s="1"/>
  <c r="L447" i="14"/>
  <c r="O447" i="14" s="1"/>
  <c r="N33" i="7"/>
  <c r="N30" i="7" s="1"/>
  <c r="P35" i="7"/>
  <c r="M31" i="7"/>
  <c r="P31" i="7" s="1"/>
  <c r="N740" i="7"/>
  <c r="N788" i="7"/>
  <c r="P656" i="7"/>
  <c r="N687" i="7"/>
  <c r="N685" i="7" s="1"/>
  <c r="N757" i="7"/>
  <c r="N786" i="7"/>
  <c r="L477" i="14"/>
  <c r="O477" i="14" s="1"/>
  <c r="L12" i="5"/>
  <c r="O12" i="5" s="1"/>
  <c r="M391" i="21"/>
  <c r="M389" i="21" s="1"/>
  <c r="P389" i="21" s="1"/>
  <c r="O690" i="22"/>
  <c r="K823" i="22"/>
  <c r="N658" i="5"/>
  <c r="N757" i="5"/>
  <c r="N29" i="5"/>
  <c r="N740" i="5"/>
  <c r="M655" i="5"/>
  <c r="P655" i="5" s="1"/>
  <c r="N770" i="5"/>
  <c r="N789" i="5"/>
  <c r="M30" i="5"/>
  <c r="P30" i="5" s="1"/>
  <c r="M34" i="5"/>
  <c r="P34" i="5" s="1"/>
  <c r="N737" i="5"/>
  <c r="N754" i="5"/>
  <c r="N34" i="5"/>
  <c r="L447" i="11"/>
  <c r="O447" i="11" s="1"/>
  <c r="P807" i="5"/>
  <c r="P656" i="5"/>
  <c r="N773" i="5"/>
  <c r="N31" i="5"/>
  <c r="N33" i="5"/>
  <c r="N30" i="5" s="1"/>
  <c r="P35" i="5"/>
  <c r="N786" i="5"/>
  <c r="I275" i="14"/>
  <c r="K275" i="14" s="1"/>
  <c r="L632" i="14"/>
  <c r="O632" i="14" s="1"/>
  <c r="N687" i="5"/>
  <c r="N685" i="5" s="1"/>
  <c r="M786" i="5"/>
  <c r="P786" i="5" s="1"/>
  <c r="L533" i="15"/>
  <c r="O533" i="15" s="1"/>
  <c r="L789" i="19"/>
  <c r="O789" i="19" s="1"/>
  <c r="I654" i="17"/>
  <c r="K654" i="17" s="1"/>
  <c r="L447" i="6"/>
  <c r="O447" i="6" s="1"/>
  <c r="L639" i="8"/>
  <c r="O639" i="8" s="1"/>
  <c r="L533" i="4"/>
  <c r="O533" i="4" s="1"/>
  <c r="L422" i="8"/>
  <c r="O422" i="8" s="1"/>
  <c r="M134" i="20"/>
  <c r="P134" i="20" s="1"/>
  <c r="L447" i="13"/>
  <c r="O447" i="13" s="1"/>
  <c r="I442" i="7"/>
  <c r="K442" i="7" s="1"/>
  <c r="L632" i="13"/>
  <c r="O632" i="13" s="1"/>
  <c r="L477" i="11"/>
  <c r="O477" i="11" s="1"/>
  <c r="L447" i="5"/>
  <c r="O447" i="5" s="1"/>
  <c r="M392" i="21"/>
  <c r="P392" i="21" s="1"/>
  <c r="P394" i="21"/>
  <c r="L632" i="11"/>
  <c r="O632" i="11" s="1"/>
  <c r="L470" i="16"/>
  <c r="O470" i="16" s="1"/>
  <c r="L422" i="11"/>
  <c r="O422" i="11" s="1"/>
  <c r="M138" i="20"/>
  <c r="P138" i="20" s="1"/>
  <c r="L658" i="17"/>
  <c r="O658" i="17" s="1"/>
  <c r="L447" i="2"/>
  <c r="O447" i="2" s="1"/>
  <c r="I297" i="21"/>
  <c r="K297" i="21" s="1"/>
  <c r="M151" i="22"/>
  <c r="M149" i="22" s="1"/>
  <c r="P149" i="22" s="1"/>
  <c r="K271" i="22"/>
  <c r="P333" i="19"/>
  <c r="L263" i="22"/>
  <c r="L261" i="22" s="1"/>
  <c r="M279" i="22"/>
  <c r="P279" i="22" s="1"/>
  <c r="N317" i="22"/>
  <c r="N315" i="22" s="1"/>
  <c r="L231" i="21"/>
  <c r="I190" i="22"/>
  <c r="K190" i="22" s="1"/>
  <c r="O71" i="20"/>
  <c r="L477" i="15"/>
  <c r="O477" i="15" s="1"/>
  <c r="I654" i="13"/>
  <c r="K654" i="13" s="1"/>
  <c r="L90" i="14"/>
  <c r="L88" i="14" s="1"/>
  <c r="L55" i="22"/>
  <c r="L53" i="22" s="1"/>
  <c r="L392" i="22"/>
  <c r="O392" i="22" s="1"/>
  <c r="I260" i="19"/>
  <c r="K260" i="19" s="1"/>
  <c r="K723" i="22"/>
  <c r="O351" i="22"/>
  <c r="L533" i="12"/>
  <c r="O533" i="12" s="1"/>
  <c r="M152" i="22"/>
  <c r="P152" i="22" s="1"/>
  <c r="P157" i="22"/>
  <c r="L422" i="21"/>
  <c r="O422" i="21" s="1"/>
  <c r="M55" i="22"/>
  <c r="M53" i="22" s="1"/>
  <c r="J143" i="22"/>
  <c r="J131" i="22" s="1"/>
  <c r="M167" i="22"/>
  <c r="P167" i="22" s="1"/>
  <c r="O184" i="22"/>
  <c r="L229" i="22"/>
  <c r="M330" i="22"/>
  <c r="M328" i="22" s="1"/>
  <c r="O71" i="22"/>
  <c r="M300" i="22"/>
  <c r="P300" i="22" s="1"/>
  <c r="I434" i="22"/>
  <c r="K434" i="22" s="1"/>
  <c r="L422" i="18"/>
  <c r="O422" i="18" s="1"/>
  <c r="O61" i="21"/>
  <c r="M151" i="21"/>
  <c r="M149" i="21" s="1"/>
  <c r="L300" i="21"/>
  <c r="L298" i="21" s="1"/>
  <c r="M330" i="21"/>
  <c r="M328" i="21" s="1"/>
  <c r="K365" i="21"/>
  <c r="L687" i="22"/>
  <c r="L685" i="22" s="1"/>
  <c r="O685" i="22" s="1"/>
  <c r="K725" i="22"/>
  <c r="P49" i="22"/>
  <c r="L59" i="22"/>
  <c r="O59" i="22" s="1"/>
  <c r="N134" i="22"/>
  <c r="N132" i="22" s="1"/>
  <c r="K176" i="22"/>
  <c r="L230" i="22"/>
  <c r="M318" i="22"/>
  <c r="P318" i="22" s="1"/>
  <c r="L334" i="22"/>
  <c r="O334" i="22" s="1"/>
  <c r="M404" i="22"/>
  <c r="K438" i="22"/>
  <c r="I442" i="22"/>
  <c r="K442" i="22" s="1"/>
  <c r="L477" i="22"/>
  <c r="O477" i="22" s="1"/>
  <c r="I559" i="22"/>
  <c r="I543" i="22" s="1"/>
  <c r="K543" i="22" s="1"/>
  <c r="I559" i="21"/>
  <c r="K559" i="21" s="1"/>
  <c r="L122" i="22"/>
  <c r="O122" i="22" s="1"/>
  <c r="P124" i="22"/>
  <c r="P127" i="22"/>
  <c r="L231" i="22"/>
  <c r="L657" i="22"/>
  <c r="O657" i="22" s="1"/>
  <c r="L447" i="12"/>
  <c r="O447" i="12" s="1"/>
  <c r="L555" i="12"/>
  <c r="O555" i="12" s="1"/>
  <c r="L658" i="13"/>
  <c r="O658" i="13" s="1"/>
  <c r="I87" i="22"/>
  <c r="K87" i="22" s="1"/>
  <c r="L187" i="22"/>
  <c r="O187" i="22" s="1"/>
  <c r="K338" i="22"/>
  <c r="I364" i="22"/>
  <c r="K364" i="22" s="1"/>
  <c r="I443" i="22"/>
  <c r="K443" i="22" s="1"/>
  <c r="L422" i="6"/>
  <c r="O422" i="6" s="1"/>
  <c r="L422" i="12"/>
  <c r="O422" i="12" s="1"/>
  <c r="N263" i="21"/>
  <c r="N261" i="21" s="1"/>
  <c r="K378" i="21"/>
  <c r="N90" i="22"/>
  <c r="N88" i="22" s="1"/>
  <c r="K174" i="22"/>
  <c r="I276" i="22"/>
  <c r="K276" i="22" s="1"/>
  <c r="L658" i="22"/>
  <c r="O658" i="22" s="1"/>
  <c r="M55" i="21"/>
  <c r="M53" i="21" s="1"/>
  <c r="K628" i="21"/>
  <c r="P71" i="22"/>
  <c r="O91" i="22"/>
  <c r="O137" i="22"/>
  <c r="K145" i="22"/>
  <c r="L228" i="22"/>
  <c r="L267" i="22"/>
  <c r="O267" i="22" s="1"/>
  <c r="N263" i="22"/>
  <c r="N261" i="22" s="1"/>
  <c r="M301" i="22"/>
  <c r="P301" i="22" s="1"/>
  <c r="L304" i="22"/>
  <c r="O304" i="22" s="1"/>
  <c r="L36" i="22"/>
  <c r="L34" i="22" s="1"/>
  <c r="O34" i="22" s="1"/>
  <c r="O535" i="22"/>
  <c r="I628" i="22"/>
  <c r="K628" i="22" s="1"/>
  <c r="L632" i="22"/>
  <c r="O632" i="22" s="1"/>
  <c r="K669" i="22"/>
  <c r="N300" i="21"/>
  <c r="N298" i="21" s="1"/>
  <c r="N317" i="21"/>
  <c r="N315" i="21" s="1"/>
  <c r="M72" i="22"/>
  <c r="P72" i="22" s="1"/>
  <c r="M90" i="22"/>
  <c r="M88" i="22" s="1"/>
  <c r="I143" i="22"/>
  <c r="K143" i="22" s="1"/>
  <c r="L183" i="22"/>
  <c r="L181" i="22" s="1"/>
  <c r="M304" i="22"/>
  <c r="P304" i="22" s="1"/>
  <c r="O331" i="22"/>
  <c r="L330" i="22"/>
  <c r="L328" i="22" s="1"/>
  <c r="L347" i="22"/>
  <c r="L345" i="22" s="1"/>
  <c r="L525" i="22"/>
  <c r="M68" i="22"/>
  <c r="P68" i="22" s="1"/>
  <c r="K340" i="22"/>
  <c r="N68" i="21"/>
  <c r="N66" i="21" s="1"/>
  <c r="M43" i="22"/>
  <c r="M41" i="22" s="1"/>
  <c r="P56" i="22"/>
  <c r="I76" i="22"/>
  <c r="I64" i="22" s="1"/>
  <c r="K64" i="22" s="1"/>
  <c r="M94" i="22"/>
  <c r="P94" i="22" s="1"/>
  <c r="N279" i="22"/>
  <c r="N277" i="22" s="1"/>
  <c r="J537" i="22"/>
  <c r="J522" i="22" s="1"/>
  <c r="K821" i="20"/>
  <c r="K827" i="20"/>
  <c r="I112" i="21"/>
  <c r="K112" i="21" s="1"/>
  <c r="L134" i="22"/>
  <c r="O134" i="22" s="1"/>
  <c r="M171" i="22"/>
  <c r="P171" i="22" s="1"/>
  <c r="L249" i="22"/>
  <c r="O249" i="22" s="1"/>
  <c r="N283" i="22"/>
  <c r="K365" i="22"/>
  <c r="N391" i="22"/>
  <c r="N389" i="22" s="1"/>
  <c r="N404" i="22"/>
  <c r="N402" i="22" s="1"/>
  <c r="M408" i="22"/>
  <c r="P408" i="22" s="1"/>
  <c r="K828" i="22"/>
  <c r="M26" i="22"/>
  <c r="M24" i="22" s="1"/>
  <c r="J143" i="21"/>
  <c r="J131" i="21" s="1"/>
  <c r="L198" i="21"/>
  <c r="O198" i="21" s="1"/>
  <c r="K822" i="21"/>
  <c r="K825" i="21"/>
  <c r="K828" i="21"/>
  <c r="N55" i="22"/>
  <c r="P58" i="22"/>
  <c r="M91" i="22"/>
  <c r="P91" i="22" s="1"/>
  <c r="K100" i="22"/>
  <c r="L125" i="22"/>
  <c r="O125" i="22" s="1"/>
  <c r="L138" i="22"/>
  <c r="O138" i="22" s="1"/>
  <c r="L152" i="22"/>
  <c r="O152" i="22" s="1"/>
  <c r="L209" i="22"/>
  <c r="O209" i="22" s="1"/>
  <c r="K215" i="22"/>
  <c r="L217" i="22"/>
  <c r="O217" i="22" s="1"/>
  <c r="I237" i="22"/>
  <c r="K237" i="22" s="1"/>
  <c r="O303" i="22"/>
  <c r="L300" i="22"/>
  <c r="O300" i="22" s="1"/>
  <c r="K325" i="22"/>
  <c r="M405" i="22"/>
  <c r="P405" i="22" s="1"/>
  <c r="O528" i="22"/>
  <c r="L547" i="22"/>
  <c r="O547" i="22" s="1"/>
  <c r="K359" i="21"/>
  <c r="O46" i="22"/>
  <c r="L56" i="22"/>
  <c r="O56" i="22" s="1"/>
  <c r="P93" i="22"/>
  <c r="K98" i="22"/>
  <c r="M121" i="22"/>
  <c r="P264" i="22"/>
  <c r="L391" i="22"/>
  <c r="L408" i="22"/>
  <c r="O408" i="22" s="1"/>
  <c r="I654" i="22"/>
  <c r="K654" i="22" s="1"/>
  <c r="K672" i="22"/>
  <c r="J722" i="22"/>
  <c r="K722" i="22" s="1"/>
  <c r="K824" i="22"/>
  <c r="K827" i="22"/>
  <c r="O91" i="21"/>
  <c r="L238" i="21"/>
  <c r="O238" i="21" s="1"/>
  <c r="O58" i="22"/>
  <c r="L151" i="22"/>
  <c r="L238" i="22"/>
  <c r="O238" i="22" s="1"/>
  <c r="L279" i="22"/>
  <c r="O279" i="22" s="1"/>
  <c r="O320" i="22"/>
  <c r="K673" i="22"/>
  <c r="N151" i="21"/>
  <c r="N149" i="21" s="1"/>
  <c r="M155" i="21"/>
  <c r="P155" i="21" s="1"/>
  <c r="K176" i="21"/>
  <c r="P189" i="21"/>
  <c r="N300" i="22"/>
  <c r="N298" i="22" s="1"/>
  <c r="L317" i="22"/>
  <c r="O317" i="22" s="1"/>
  <c r="K827" i="21"/>
  <c r="L23" i="22"/>
  <c r="L21" i="22" s="1"/>
  <c r="M59" i="22"/>
  <c r="P59" i="22" s="1"/>
  <c r="M280" i="22"/>
  <c r="P280" i="22" s="1"/>
  <c r="O353" i="22"/>
  <c r="L395" i="22"/>
  <c r="O395" i="22" s="1"/>
  <c r="L447" i="22"/>
  <c r="O447" i="22" s="1"/>
  <c r="K675" i="22"/>
  <c r="O688" i="22"/>
  <c r="J721" i="22"/>
  <c r="K721" i="22" s="1"/>
  <c r="L94" i="22"/>
  <c r="O94" i="22" s="1"/>
  <c r="O96" i="22"/>
  <c r="P739" i="22"/>
  <c r="M737" i="22"/>
  <c r="P737" i="22" s="1"/>
  <c r="O771" i="22"/>
  <c r="L770" i="22"/>
  <c r="O770" i="22" s="1"/>
  <c r="K288" i="20"/>
  <c r="L55" i="21"/>
  <c r="L53" i="21" s="1"/>
  <c r="P61" i="21"/>
  <c r="P91" i="21"/>
  <c r="K204" i="21"/>
  <c r="K360" i="21"/>
  <c r="L632" i="21"/>
  <c r="O632" i="21" s="1"/>
  <c r="K720" i="21"/>
  <c r="N19" i="22"/>
  <c r="N12" i="22"/>
  <c r="L47" i="22"/>
  <c r="O47" i="22" s="1"/>
  <c r="N26" i="22"/>
  <c r="N16" i="22" s="1"/>
  <c r="N14" i="22" s="1"/>
  <c r="L155" i="21"/>
  <c r="O155" i="21" s="1"/>
  <c r="O74" i="22"/>
  <c r="L68" i="22"/>
  <c r="N391" i="20"/>
  <c r="N389" i="20" s="1"/>
  <c r="M134" i="21"/>
  <c r="P134" i="21" s="1"/>
  <c r="L167" i="21"/>
  <c r="L165" i="21" s="1"/>
  <c r="O170" i="21"/>
  <c r="L187" i="21"/>
  <c r="O187" i="21" s="1"/>
  <c r="M317" i="21"/>
  <c r="P317" i="21" s="1"/>
  <c r="K379" i="21"/>
  <c r="J722" i="21"/>
  <c r="K722" i="21" s="1"/>
  <c r="K729" i="21"/>
  <c r="K824" i="21"/>
  <c r="L72" i="22"/>
  <c r="O72" i="22" s="1"/>
  <c r="M184" i="22"/>
  <c r="P184" i="22" s="1"/>
  <c r="P186" i="22"/>
  <c r="M183" i="22"/>
  <c r="M23" i="22"/>
  <c r="O299" i="22"/>
  <c r="I297" i="22"/>
  <c r="K297" i="22" s="1"/>
  <c r="K309" i="22"/>
  <c r="L533" i="14"/>
  <c r="O533" i="14" s="1"/>
  <c r="P170" i="21"/>
  <c r="K374" i="21"/>
  <c r="L26" i="22"/>
  <c r="N122" i="22"/>
  <c r="N121" i="22"/>
  <c r="N119" i="22" s="1"/>
  <c r="P390" i="22"/>
  <c r="M43" i="21"/>
  <c r="M41" i="21" s="1"/>
  <c r="O154" i="21"/>
  <c r="O173" i="21"/>
  <c r="K244" i="21"/>
  <c r="L249" i="21"/>
  <c r="O249" i="21" s="1"/>
  <c r="L267" i="21"/>
  <c r="O267" i="21" s="1"/>
  <c r="L318" i="21"/>
  <c r="O318" i="21" s="1"/>
  <c r="K340" i="21"/>
  <c r="P353" i="21"/>
  <c r="K385" i="21"/>
  <c r="L526" i="21"/>
  <c r="O526" i="21" s="1"/>
  <c r="K651" i="21"/>
  <c r="J721" i="21"/>
  <c r="K721" i="21" s="1"/>
  <c r="K823" i="21"/>
  <c r="K826" i="21"/>
  <c r="L12" i="22"/>
  <c r="O15" i="22"/>
  <c r="L19" i="22"/>
  <c r="O22" i="22"/>
  <c r="N31" i="22"/>
  <c r="I77" i="22"/>
  <c r="L121" i="22"/>
  <c r="I130" i="22"/>
  <c r="K130" i="22" s="1"/>
  <c r="O133" i="22"/>
  <c r="O157" i="22"/>
  <c r="L167" i="22"/>
  <c r="O173" i="22"/>
  <c r="O182" i="22"/>
  <c r="O186" i="22"/>
  <c r="N183" i="22"/>
  <c r="L264" i="22"/>
  <c r="O264" i="22" s="1"/>
  <c r="O266" i="22"/>
  <c r="L280" i="22"/>
  <c r="O280" i="22" s="1"/>
  <c r="O282" i="22"/>
  <c r="M317" i="22"/>
  <c r="P323" i="22"/>
  <c r="N446" i="22"/>
  <c r="N444" i="22" s="1"/>
  <c r="N447" i="22"/>
  <c r="O468" i="22"/>
  <c r="L789" i="22"/>
  <c r="O789" i="22" s="1"/>
  <c r="O791" i="22"/>
  <c r="L788" i="22"/>
  <c r="L33" i="22"/>
  <c r="L31" i="22" s="1"/>
  <c r="O31" i="22" s="1"/>
  <c r="O807" i="22"/>
  <c r="L805" i="22"/>
  <c r="O805" i="22" s="1"/>
  <c r="P137" i="22"/>
  <c r="M134" i="22"/>
  <c r="P134" i="22" s="1"/>
  <c r="N152" i="22"/>
  <c r="N151" i="22"/>
  <c r="N149" i="22" s="1"/>
  <c r="J164" i="22"/>
  <c r="K255" i="22"/>
  <c r="I233" i="22"/>
  <c r="K233" i="22" s="1"/>
  <c r="P266" i="22"/>
  <c r="M263" i="22"/>
  <c r="I275" i="22"/>
  <c r="K275" i="22" s="1"/>
  <c r="K288" i="22"/>
  <c r="L429" i="22"/>
  <c r="O429" i="22" s="1"/>
  <c r="O431" i="22"/>
  <c r="L421" i="22"/>
  <c r="L43" i="22"/>
  <c r="M168" i="22"/>
  <c r="P168" i="22" s="1"/>
  <c r="P170" i="22"/>
  <c r="K204" i="22"/>
  <c r="I197" i="22"/>
  <c r="K197" i="22" s="1"/>
  <c r="O333" i="22"/>
  <c r="N330" i="22"/>
  <c r="M28" i="22"/>
  <c r="P28" i="22" s="1"/>
  <c r="P46" i="22"/>
  <c r="N44" i="22"/>
  <c r="P44" i="22" s="1"/>
  <c r="N68" i="22"/>
  <c r="N66" i="22" s="1"/>
  <c r="K78" i="22"/>
  <c r="L90" i="22"/>
  <c r="K116" i="22"/>
  <c r="I112" i="22"/>
  <c r="K112" i="22" s="1"/>
  <c r="P133" i="22"/>
  <c r="K159" i="22"/>
  <c r="N167" i="22"/>
  <c r="N165" i="22" s="1"/>
  <c r="I216" i="22"/>
  <c r="K216" i="22" s="1"/>
  <c r="P269" i="22"/>
  <c r="M267" i="22"/>
  <c r="P267" i="22" s="1"/>
  <c r="P282" i="22"/>
  <c r="M283" i="22"/>
  <c r="P283" i="22" s="1"/>
  <c r="P285" i="22"/>
  <c r="O316" i="22"/>
  <c r="P333" i="22"/>
  <c r="P394" i="22"/>
  <c r="M392" i="22"/>
  <c r="P392" i="22" s="1"/>
  <c r="M391" i="22"/>
  <c r="P391" i="22" s="1"/>
  <c r="M419" i="22"/>
  <c r="P420" i="22"/>
  <c r="M9" i="22"/>
  <c r="M15" i="22"/>
  <c r="N23" i="22"/>
  <c r="N43" i="22"/>
  <c r="O93" i="22"/>
  <c r="P140" i="22"/>
  <c r="M138" i="22"/>
  <c r="P138" i="22" s="1"/>
  <c r="L155" i="22"/>
  <c r="O155" i="22" s="1"/>
  <c r="L198" i="22"/>
  <c r="O198" i="22" s="1"/>
  <c r="I248" i="22"/>
  <c r="O348" i="22"/>
  <c r="O350" i="22"/>
  <c r="N347" i="22"/>
  <c r="M351" i="22"/>
  <c r="P351" i="22" s="1"/>
  <c r="P353" i="22"/>
  <c r="M347" i="22"/>
  <c r="M345" i="22" s="1"/>
  <c r="M467" i="22"/>
  <c r="P467" i="22" s="1"/>
  <c r="P469" i="22"/>
  <c r="O170" i="22"/>
  <c r="P189" i="22"/>
  <c r="O285" i="22"/>
  <c r="M334" i="22"/>
  <c r="P334" i="22" s="1"/>
  <c r="P336" i="22"/>
  <c r="J364" i="22"/>
  <c r="P397" i="22"/>
  <c r="M395" i="22"/>
  <c r="P395" i="22" s="1"/>
  <c r="L405" i="22"/>
  <c r="O405" i="22" s="1"/>
  <c r="O407" i="22"/>
  <c r="L404" i="22"/>
  <c r="M502" i="22"/>
  <c r="P502" i="22" s="1"/>
  <c r="P504" i="22"/>
  <c r="N631" i="22"/>
  <c r="N629" i="22" s="1"/>
  <c r="O738" i="22"/>
  <c r="L737" i="22"/>
  <c r="O737" i="22" s="1"/>
  <c r="P756" i="22"/>
  <c r="M754" i="22"/>
  <c r="P754" i="22" s="1"/>
  <c r="N807" i="22"/>
  <c r="N808" i="22"/>
  <c r="O329" i="22"/>
  <c r="M444" i="22"/>
  <c r="P444" i="22" s="1"/>
  <c r="P445" i="22"/>
  <c r="L454" i="22"/>
  <c r="O454" i="22" s="1"/>
  <c r="O456" i="22"/>
  <c r="L446" i="22"/>
  <c r="L502" i="22"/>
  <c r="O502" i="22" s="1"/>
  <c r="O503" i="22"/>
  <c r="J327" i="22"/>
  <c r="K327" i="22" s="1"/>
  <c r="O472" i="22"/>
  <c r="L470" i="22"/>
  <c r="O470" i="22" s="1"/>
  <c r="O557" i="22"/>
  <c r="L546" i="22"/>
  <c r="N737" i="22"/>
  <c r="O755" i="22"/>
  <c r="L754" i="22"/>
  <c r="O754" i="22" s="1"/>
  <c r="P772" i="22"/>
  <c r="M770" i="22"/>
  <c r="P770" i="22" s="1"/>
  <c r="L321" i="22"/>
  <c r="O321" i="22" s="1"/>
  <c r="O323" i="22"/>
  <c r="M348" i="22"/>
  <c r="P348" i="22" s="1"/>
  <c r="P350" i="22"/>
  <c r="O424" i="22"/>
  <c r="N422" i="22"/>
  <c r="O422" i="22" s="1"/>
  <c r="K435" i="22"/>
  <c r="J433" i="22"/>
  <c r="J417" i="22" s="1"/>
  <c r="I433" i="22"/>
  <c r="L469" i="22"/>
  <c r="O469" i="22" s="1"/>
  <c r="L555" i="22"/>
  <c r="O555" i="22" s="1"/>
  <c r="K700" i="22"/>
  <c r="P331" i="22"/>
  <c r="N470" i="22"/>
  <c r="I522" i="22"/>
  <c r="K522" i="22" s="1"/>
  <c r="K537" i="22"/>
  <c r="I592" i="22"/>
  <c r="K592" i="22" s="1"/>
  <c r="K593" i="22"/>
  <c r="K699" i="22"/>
  <c r="N805" i="22"/>
  <c r="L639" i="22"/>
  <c r="O639" i="22" s="1"/>
  <c r="O641" i="22"/>
  <c r="L631" i="22"/>
  <c r="K701" i="22"/>
  <c r="I77" i="21"/>
  <c r="K77" i="21" s="1"/>
  <c r="N183" i="21"/>
  <c r="N181" i="21" s="1"/>
  <c r="N264" i="21"/>
  <c r="O264" i="21" s="1"/>
  <c r="L347" i="21"/>
  <c r="L345" i="21" s="1"/>
  <c r="K435" i="21"/>
  <c r="M392" i="20"/>
  <c r="P392" i="20" s="1"/>
  <c r="M68" i="21"/>
  <c r="I86" i="21"/>
  <c r="K86" i="21" s="1"/>
  <c r="M121" i="21"/>
  <c r="M119" i="21" s="1"/>
  <c r="P119" i="21" s="1"/>
  <c r="K224" i="21"/>
  <c r="L229" i="21"/>
  <c r="N318" i="21"/>
  <c r="M347" i="21"/>
  <c r="M345" i="21" s="1"/>
  <c r="L421" i="21"/>
  <c r="O421" i="21" s="1"/>
  <c r="L429" i="21"/>
  <c r="O429" i="21" s="1"/>
  <c r="I443" i="21"/>
  <c r="K443" i="21" s="1"/>
  <c r="L477" i="21"/>
  <c r="O477" i="21" s="1"/>
  <c r="O690" i="21"/>
  <c r="L138" i="19"/>
  <c r="O138" i="19" s="1"/>
  <c r="K325" i="20"/>
  <c r="M330" i="20"/>
  <c r="M328" i="20" s="1"/>
  <c r="P336" i="20"/>
  <c r="O71" i="21"/>
  <c r="M90" i="21"/>
  <c r="M88" i="21" s="1"/>
  <c r="P93" i="21"/>
  <c r="M122" i="21"/>
  <c r="P122" i="21" s="1"/>
  <c r="K146" i="21"/>
  <c r="P154" i="21"/>
  <c r="K197" i="21"/>
  <c r="I276" i="21"/>
  <c r="K276" i="21" s="1"/>
  <c r="K325" i="21"/>
  <c r="K369" i="21"/>
  <c r="K372" i="21"/>
  <c r="K649" i="21"/>
  <c r="L687" i="21"/>
  <c r="L685" i="21" s="1"/>
  <c r="I197" i="20"/>
  <c r="K197" i="20" s="1"/>
  <c r="L230" i="20"/>
  <c r="M405" i="20"/>
  <c r="P405" i="20" s="1"/>
  <c r="L43" i="21"/>
  <c r="L41" i="21" s="1"/>
  <c r="N26" i="21"/>
  <c r="N24" i="21" s="1"/>
  <c r="O96" i="21"/>
  <c r="M125" i="21"/>
  <c r="P125" i="21" s="1"/>
  <c r="O137" i="21"/>
  <c r="O140" i="21"/>
  <c r="P168" i="21"/>
  <c r="O186" i="21"/>
  <c r="M331" i="21"/>
  <c r="P331" i="21" s="1"/>
  <c r="P333" i="21"/>
  <c r="L348" i="21"/>
  <c r="O348" i="21" s="1"/>
  <c r="O46" i="21"/>
  <c r="O49" i="21"/>
  <c r="N55" i="21"/>
  <c r="N53" i="21" s="1"/>
  <c r="M59" i="21"/>
  <c r="P59" i="21" s="1"/>
  <c r="P96" i="21"/>
  <c r="I143" i="21"/>
  <c r="I131" i="21" s="1"/>
  <c r="K131" i="21" s="1"/>
  <c r="P184" i="21"/>
  <c r="L209" i="21"/>
  <c r="O209" i="21" s="1"/>
  <c r="L279" i="21"/>
  <c r="L277" i="21" s="1"/>
  <c r="K593" i="21"/>
  <c r="K725" i="21"/>
  <c r="M55" i="20"/>
  <c r="M53" i="20" s="1"/>
  <c r="K224" i="20"/>
  <c r="M263" i="20"/>
  <c r="M261" i="20" s="1"/>
  <c r="J721" i="20"/>
  <c r="K721" i="20" s="1"/>
  <c r="N47" i="21"/>
  <c r="N69" i="21"/>
  <c r="O69" i="21" s="1"/>
  <c r="I148" i="21"/>
  <c r="K148" i="21" s="1"/>
  <c r="I190" i="21"/>
  <c r="K190" i="21" s="1"/>
  <c r="L217" i="21"/>
  <c r="O217" i="21" s="1"/>
  <c r="M267" i="21"/>
  <c r="P267" i="21" s="1"/>
  <c r="M283" i="21"/>
  <c r="P283" i="21" s="1"/>
  <c r="N279" i="21"/>
  <c r="N277" i="21" s="1"/>
  <c r="N301" i="21"/>
  <c r="P301" i="21" s="1"/>
  <c r="L334" i="21"/>
  <c r="O334" i="21" s="1"/>
  <c r="L408" i="21"/>
  <c r="O408" i="21" s="1"/>
  <c r="O410" i="21"/>
  <c r="K675" i="21"/>
  <c r="K674" i="21"/>
  <c r="K669" i="21"/>
  <c r="K673" i="21"/>
  <c r="M318" i="21"/>
  <c r="P318" i="21" s="1"/>
  <c r="P44" i="19"/>
  <c r="M391" i="19"/>
  <c r="P391" i="19" s="1"/>
  <c r="N55" i="20"/>
  <c r="O264" i="20"/>
  <c r="L283" i="20"/>
  <c r="O283" i="20" s="1"/>
  <c r="P285" i="20"/>
  <c r="O303" i="20"/>
  <c r="M347" i="20"/>
  <c r="M345" i="20" s="1"/>
  <c r="M56" i="21"/>
  <c r="P56" i="21" s="1"/>
  <c r="P58" i="21"/>
  <c r="L90" i="21"/>
  <c r="L88" i="21" s="1"/>
  <c r="N121" i="21"/>
  <c r="N119" i="21" s="1"/>
  <c r="O168" i="21"/>
  <c r="P173" i="21"/>
  <c r="L184" i="21"/>
  <c r="O184" i="21" s="1"/>
  <c r="L263" i="21"/>
  <c r="L261" i="21" s="1"/>
  <c r="N283" i="21"/>
  <c r="O306" i="21"/>
  <c r="P320" i="21"/>
  <c r="M334" i="21"/>
  <c r="P334" i="21" s="1"/>
  <c r="M348" i="21"/>
  <c r="P348" i="21" s="1"/>
  <c r="P350" i="21"/>
  <c r="I364" i="21"/>
  <c r="L405" i="21"/>
  <c r="O405" i="21" s="1"/>
  <c r="L404" i="21"/>
  <c r="O407" i="21"/>
  <c r="M408" i="21"/>
  <c r="P408" i="21" s="1"/>
  <c r="P410" i="21"/>
  <c r="K465" i="21"/>
  <c r="L547" i="21"/>
  <c r="O547" i="21" s="1"/>
  <c r="L546" i="21"/>
  <c r="L544" i="21" s="1"/>
  <c r="O549" i="21"/>
  <c r="I785" i="21"/>
  <c r="K785" i="21" s="1"/>
  <c r="M155" i="19"/>
  <c r="P155" i="19" s="1"/>
  <c r="I233" i="20"/>
  <c r="K233" i="20" s="1"/>
  <c r="L263" i="20"/>
  <c r="L261" i="20" s="1"/>
  <c r="O44" i="21"/>
  <c r="L59" i="21"/>
  <c r="O59" i="21" s="1"/>
  <c r="O74" i="21"/>
  <c r="K115" i="21"/>
  <c r="L134" i="21"/>
  <c r="M152" i="21"/>
  <c r="P152" i="21" s="1"/>
  <c r="L183" i="21"/>
  <c r="L228" i="21"/>
  <c r="L230" i="21"/>
  <c r="M263" i="21"/>
  <c r="P263" i="21" s="1"/>
  <c r="O266" i="21"/>
  <c r="L317" i="21"/>
  <c r="O317" i="21" s="1"/>
  <c r="M321" i="21"/>
  <c r="P321" i="21" s="1"/>
  <c r="O333" i="21"/>
  <c r="M351" i="21"/>
  <c r="P351" i="21" s="1"/>
  <c r="J364" i="21"/>
  <c r="K381" i="21"/>
  <c r="O397" i="21"/>
  <c r="L395" i="21"/>
  <c r="O395" i="21" s="1"/>
  <c r="M405" i="21"/>
  <c r="P405" i="21" s="1"/>
  <c r="M404" i="21"/>
  <c r="P407" i="21"/>
  <c r="O449" i="21"/>
  <c r="L447" i="21"/>
  <c r="O447" i="21" s="1"/>
  <c r="K460" i="21"/>
  <c r="P280" i="21"/>
  <c r="P44" i="20"/>
  <c r="P333" i="20"/>
  <c r="I364" i="20"/>
  <c r="K364" i="20" s="1"/>
  <c r="I559" i="20"/>
  <c r="I543" i="20" s="1"/>
  <c r="K543" i="20" s="1"/>
  <c r="L68" i="21"/>
  <c r="L66" i="21" s="1"/>
  <c r="N90" i="21"/>
  <c r="O93" i="21"/>
  <c r="L122" i="21"/>
  <c r="O122" i="21" s="1"/>
  <c r="M167" i="21"/>
  <c r="M165" i="21" s="1"/>
  <c r="M183" i="21"/>
  <c r="P186" i="21"/>
  <c r="N330" i="21"/>
  <c r="N328" i="21" s="1"/>
  <c r="K362" i="21"/>
  <c r="K370" i="21"/>
  <c r="N391" i="21"/>
  <c r="N389" i="21" s="1"/>
  <c r="P397" i="21"/>
  <c r="M395" i="21"/>
  <c r="P395" i="21" s="1"/>
  <c r="L657" i="21"/>
  <c r="I87" i="20"/>
  <c r="K87" i="20" s="1"/>
  <c r="O184" i="20"/>
  <c r="M183" i="20"/>
  <c r="M181" i="20" s="1"/>
  <c r="O58" i="21"/>
  <c r="L151" i="21"/>
  <c r="N167" i="21"/>
  <c r="M279" i="21"/>
  <c r="M277" i="21" s="1"/>
  <c r="P282" i="21"/>
  <c r="M300" i="21"/>
  <c r="N347" i="21"/>
  <c r="N345" i="21" s="1"/>
  <c r="O350" i="21"/>
  <c r="I522" i="21"/>
  <c r="K522" i="21" s="1"/>
  <c r="K723" i="21"/>
  <c r="K726" i="21"/>
  <c r="J537" i="21"/>
  <c r="J522" i="21" s="1"/>
  <c r="K821" i="21"/>
  <c r="I434" i="21"/>
  <c r="K538" i="21"/>
  <c r="O557" i="21"/>
  <c r="K708" i="21"/>
  <c r="N19" i="21"/>
  <c r="N12" i="21"/>
  <c r="P32" i="21"/>
  <c r="M29" i="21"/>
  <c r="M31" i="21"/>
  <c r="P31" i="21" s="1"/>
  <c r="M72" i="21"/>
  <c r="P72" i="21" s="1"/>
  <c r="P74" i="21"/>
  <c r="O394" i="21"/>
  <c r="L391" i="21"/>
  <c r="L392" i="21"/>
  <c r="O392" i="21" s="1"/>
  <c r="L167" i="20"/>
  <c r="L165" i="20" s="1"/>
  <c r="I260" i="20"/>
  <c r="K260" i="20" s="1"/>
  <c r="M304" i="20"/>
  <c r="P304" i="20" s="1"/>
  <c r="N331" i="20"/>
  <c r="P331" i="20" s="1"/>
  <c r="O25" i="21"/>
  <c r="L15" i="21"/>
  <c r="M47" i="21"/>
  <c r="P47" i="21" s="1"/>
  <c r="P49" i="21"/>
  <c r="M304" i="21"/>
  <c r="P304" i="21" s="1"/>
  <c r="P306" i="21"/>
  <c r="L321" i="21"/>
  <c r="O321" i="21" s="1"/>
  <c r="L533" i="21"/>
  <c r="O533" i="21" s="1"/>
  <c r="L36" i="21"/>
  <c r="O755" i="21"/>
  <c r="L754" i="21"/>
  <c r="O754" i="21" s="1"/>
  <c r="O791" i="21"/>
  <c r="L788" i="21"/>
  <c r="O788" i="21" s="1"/>
  <c r="O49" i="20"/>
  <c r="N151" i="20"/>
  <c r="N149" i="20" s="1"/>
  <c r="N167" i="20"/>
  <c r="L408" i="20"/>
  <c r="O408" i="20" s="1"/>
  <c r="L470" i="20"/>
  <c r="O470" i="20" s="1"/>
  <c r="L9" i="21"/>
  <c r="P25" i="21"/>
  <c r="L33" i="21"/>
  <c r="N43" i="21"/>
  <c r="L121" i="21"/>
  <c r="L125" i="21"/>
  <c r="O125" i="21" s="1"/>
  <c r="M138" i="21"/>
  <c r="P138" i="21" s="1"/>
  <c r="P140" i="21"/>
  <c r="K144" i="21"/>
  <c r="I208" i="21"/>
  <c r="K208" i="21" s="1"/>
  <c r="I260" i="21"/>
  <c r="K260" i="21" s="1"/>
  <c r="O262" i="21"/>
  <c r="L280" i="21"/>
  <c r="O280" i="21" s="1"/>
  <c r="O282" i="21"/>
  <c r="L331" i="21"/>
  <c r="O331" i="21" s="1"/>
  <c r="O535" i="21"/>
  <c r="K594" i="21"/>
  <c r="P656" i="21"/>
  <c r="M655" i="21"/>
  <c r="P655" i="21" s="1"/>
  <c r="L789" i="21"/>
  <c r="O789" i="21" s="1"/>
  <c r="I190" i="19"/>
  <c r="K190" i="19" s="1"/>
  <c r="P170" i="20"/>
  <c r="P33" i="21"/>
  <c r="M30" i="21"/>
  <c r="P30" i="21" s="1"/>
  <c r="M69" i="21"/>
  <c r="P71" i="21"/>
  <c r="K99" i="21"/>
  <c r="N134" i="21"/>
  <c r="N132" i="21" s="1"/>
  <c r="K237" i="21"/>
  <c r="O316" i="21"/>
  <c r="J327" i="21"/>
  <c r="K327" i="21" s="1"/>
  <c r="K355" i="15"/>
  <c r="P323" i="17"/>
  <c r="K824" i="19"/>
  <c r="L171" i="20"/>
  <c r="O171" i="20" s="1"/>
  <c r="K340" i="20"/>
  <c r="L404" i="20"/>
  <c r="L402" i="20" s="1"/>
  <c r="O402" i="20" s="1"/>
  <c r="I628" i="20"/>
  <c r="K628" i="20" s="1"/>
  <c r="K826" i="20"/>
  <c r="M12" i="21"/>
  <c r="L26" i="21"/>
  <c r="L24" i="21" s="1"/>
  <c r="N30" i="21"/>
  <c r="N28" i="21" s="1"/>
  <c r="N31" i="21"/>
  <c r="M44" i="21"/>
  <c r="P44" i="21" s="1"/>
  <c r="M23" i="21"/>
  <c r="P46" i="21"/>
  <c r="K79" i="21"/>
  <c r="L152" i="21"/>
  <c r="O152" i="21" s="1"/>
  <c r="I233" i="21"/>
  <c r="K233" i="21" s="1"/>
  <c r="M264" i="21"/>
  <c r="P264" i="21" s="1"/>
  <c r="P278" i="21"/>
  <c r="L283" i="21"/>
  <c r="O283" i="21" s="1"/>
  <c r="O285" i="21"/>
  <c r="J288" i="21"/>
  <c r="J275" i="21" s="1"/>
  <c r="K275" i="21" s="1"/>
  <c r="L301" i="21"/>
  <c r="O303" i="21"/>
  <c r="P316" i="21"/>
  <c r="L330" i="21"/>
  <c r="O353" i="21"/>
  <c r="L351" i="21"/>
  <c r="O351" i="21" s="1"/>
  <c r="N405" i="21"/>
  <c r="N404" i="21"/>
  <c r="N402" i="21" s="1"/>
  <c r="K440" i="21"/>
  <c r="K647" i="21"/>
  <c r="M317" i="17"/>
  <c r="P317" i="17" s="1"/>
  <c r="K701" i="19"/>
  <c r="O350" i="20"/>
  <c r="M26" i="21"/>
  <c r="O32" i="21"/>
  <c r="L29" i="21"/>
  <c r="N23" i="21"/>
  <c r="N21" i="21" s="1"/>
  <c r="L56" i="21"/>
  <c r="O56" i="21" s="1"/>
  <c r="I76" i="21"/>
  <c r="K80" i="21"/>
  <c r="M135" i="21"/>
  <c r="P135" i="21" s="1"/>
  <c r="P137" i="21"/>
  <c r="K174" i="21"/>
  <c r="I164" i="21"/>
  <c r="K164" i="21" s="1"/>
  <c r="K255" i="21"/>
  <c r="I248" i="21"/>
  <c r="K248" i="21" s="1"/>
  <c r="O299" i="21"/>
  <c r="P303" i="21"/>
  <c r="J433" i="21"/>
  <c r="K437" i="21"/>
  <c r="O738" i="21"/>
  <c r="L737" i="21"/>
  <c r="O737" i="21" s="1"/>
  <c r="N756" i="21"/>
  <c r="N757" i="21"/>
  <c r="L23" i="21"/>
  <c r="K338" i="21"/>
  <c r="O456" i="21"/>
  <c r="L446" i="21"/>
  <c r="O641" i="21"/>
  <c r="L631" i="21"/>
  <c r="K701" i="21"/>
  <c r="L525" i="21"/>
  <c r="O525" i="21" s="1"/>
  <c r="P545" i="21"/>
  <c r="M544" i="21"/>
  <c r="P544" i="21" s="1"/>
  <c r="N687" i="21"/>
  <c r="N685" i="21" s="1"/>
  <c r="N688" i="21"/>
  <c r="O688" i="21" s="1"/>
  <c r="K728" i="21"/>
  <c r="N754" i="21"/>
  <c r="O771" i="21"/>
  <c r="L770" i="21"/>
  <c r="O770" i="21" s="1"/>
  <c r="K355" i="21"/>
  <c r="N544" i="21"/>
  <c r="N414" i="21" s="1"/>
  <c r="K592" i="21"/>
  <c r="N807" i="21"/>
  <c r="N805" i="21" s="1"/>
  <c r="N808" i="21"/>
  <c r="L469" i="21"/>
  <c r="I654" i="21"/>
  <c r="K654" i="21" s="1"/>
  <c r="M737" i="21"/>
  <c r="P737" i="21" s="1"/>
  <c r="M754" i="21"/>
  <c r="P754" i="21" s="1"/>
  <c r="M770" i="21"/>
  <c r="P770" i="21" s="1"/>
  <c r="L805" i="21"/>
  <c r="O805" i="21" s="1"/>
  <c r="M523" i="21"/>
  <c r="P523" i="21" s="1"/>
  <c r="M56" i="20"/>
  <c r="L90" i="20"/>
  <c r="L88" i="20" s="1"/>
  <c r="M135" i="20"/>
  <c r="P135" i="20" s="1"/>
  <c r="P184" i="20"/>
  <c r="P186" i="20"/>
  <c r="M264" i="20"/>
  <c r="P264" i="20" s="1"/>
  <c r="N392" i="20"/>
  <c r="M138" i="18"/>
  <c r="P138" i="18" s="1"/>
  <c r="M122" i="19"/>
  <c r="P122" i="19" s="1"/>
  <c r="P282" i="19"/>
  <c r="N56" i="20"/>
  <c r="O56" i="20" s="1"/>
  <c r="L59" i="20"/>
  <c r="O59" i="20" s="1"/>
  <c r="M90" i="20"/>
  <c r="M88" i="20" s="1"/>
  <c r="P93" i="20"/>
  <c r="P137" i="20"/>
  <c r="M187" i="20"/>
  <c r="P187" i="20" s="1"/>
  <c r="P189" i="20"/>
  <c r="K215" i="20"/>
  <c r="L231" i="20"/>
  <c r="K255" i="20"/>
  <c r="M267" i="20"/>
  <c r="P267" i="20" s="1"/>
  <c r="L347" i="20"/>
  <c r="L345" i="20" s="1"/>
  <c r="M408" i="20"/>
  <c r="P408" i="20" s="1"/>
  <c r="L429" i="20"/>
  <c r="O429" i="20" s="1"/>
  <c r="L447" i="20"/>
  <c r="O447" i="20" s="1"/>
  <c r="L526" i="20"/>
  <c r="O526" i="20" s="1"/>
  <c r="L477" i="17"/>
  <c r="O477" i="17" s="1"/>
  <c r="L229" i="18"/>
  <c r="I297" i="18"/>
  <c r="K297" i="18" s="1"/>
  <c r="L525" i="18"/>
  <c r="N263" i="19"/>
  <c r="N261" i="19" s="1"/>
  <c r="O266" i="19"/>
  <c r="O44" i="20"/>
  <c r="M72" i="20"/>
  <c r="P72" i="20" s="1"/>
  <c r="N91" i="20"/>
  <c r="P91" i="20" s="1"/>
  <c r="L94" i="20"/>
  <c r="O94" i="20" s="1"/>
  <c r="N121" i="20"/>
  <c r="N119" i="20" s="1"/>
  <c r="O170" i="20"/>
  <c r="L348" i="20"/>
  <c r="O348" i="20" s="1"/>
  <c r="L33" i="20"/>
  <c r="O33" i="20" s="1"/>
  <c r="L47" i="19"/>
  <c r="O47" i="19" s="1"/>
  <c r="M151" i="19"/>
  <c r="M149" i="19" s="1"/>
  <c r="L155" i="19"/>
  <c r="O155" i="19" s="1"/>
  <c r="O264" i="19"/>
  <c r="M23" i="20"/>
  <c r="M21" i="20" s="1"/>
  <c r="L125" i="20"/>
  <c r="O125" i="20" s="1"/>
  <c r="I130" i="20"/>
  <c r="K130" i="20" s="1"/>
  <c r="P168" i="20"/>
  <c r="L229" i="20"/>
  <c r="I276" i="20"/>
  <c r="K276" i="20" s="1"/>
  <c r="N279" i="20"/>
  <c r="N277" i="20" s="1"/>
  <c r="P350" i="20"/>
  <c r="I785" i="19"/>
  <c r="K785" i="19" s="1"/>
  <c r="L55" i="20"/>
  <c r="P96" i="20"/>
  <c r="I112" i="20"/>
  <c r="K112" i="20" s="1"/>
  <c r="L238" i="20"/>
  <c r="O238" i="20" s="1"/>
  <c r="L280" i="20"/>
  <c r="O280" i="20" s="1"/>
  <c r="P282" i="20"/>
  <c r="O306" i="20"/>
  <c r="N330" i="20"/>
  <c r="N328" i="20" s="1"/>
  <c r="O407" i="20"/>
  <c r="O690" i="20"/>
  <c r="K593" i="20"/>
  <c r="I592" i="20"/>
  <c r="K592" i="20" s="1"/>
  <c r="L318" i="17"/>
  <c r="O318" i="17" s="1"/>
  <c r="L318" i="19"/>
  <c r="O318" i="19" s="1"/>
  <c r="K378" i="19"/>
  <c r="M404" i="19"/>
  <c r="P404" i="19" s="1"/>
  <c r="P49" i="20"/>
  <c r="M59" i="20"/>
  <c r="P59" i="20" s="1"/>
  <c r="P71" i="20"/>
  <c r="O93" i="20"/>
  <c r="N125" i="20"/>
  <c r="O140" i="20"/>
  <c r="L152" i="20"/>
  <c r="O152" i="20" s="1"/>
  <c r="K176" i="20"/>
  <c r="N183" i="20"/>
  <c r="N181" i="20" s="1"/>
  <c r="O186" i="20"/>
  <c r="L198" i="20"/>
  <c r="O198" i="20" s="1"/>
  <c r="L279" i="20"/>
  <c r="O279" i="20" s="1"/>
  <c r="N280" i="20"/>
  <c r="L300" i="20"/>
  <c r="P303" i="20"/>
  <c r="K309" i="20"/>
  <c r="P351" i="20"/>
  <c r="N404" i="20"/>
  <c r="N402" i="20" s="1"/>
  <c r="J537" i="20"/>
  <c r="J522" i="20" s="1"/>
  <c r="I654" i="20"/>
  <c r="K654" i="20" s="1"/>
  <c r="J722" i="20"/>
  <c r="K722" i="20" s="1"/>
  <c r="K725" i="20"/>
  <c r="M43" i="19"/>
  <c r="M41" i="19" s="1"/>
  <c r="K176" i="19"/>
  <c r="L231" i="19"/>
  <c r="L304" i="19"/>
  <c r="O304" i="19" s="1"/>
  <c r="L43" i="20"/>
  <c r="L41" i="20" s="1"/>
  <c r="N90" i="20"/>
  <c r="M152" i="20"/>
  <c r="P152" i="20" s="1"/>
  <c r="O266" i="20"/>
  <c r="M279" i="20"/>
  <c r="M300" i="20"/>
  <c r="M318" i="20"/>
  <c r="P318" i="20" s="1"/>
  <c r="M321" i="20"/>
  <c r="P321" i="20" s="1"/>
  <c r="K338" i="20"/>
  <c r="L405" i="20"/>
  <c r="O405" i="20" s="1"/>
  <c r="I434" i="20"/>
  <c r="K440" i="20"/>
  <c r="O456" i="20"/>
  <c r="L454" i="20"/>
  <c r="O454" i="20" s="1"/>
  <c r="L301" i="18"/>
  <c r="O301" i="18" s="1"/>
  <c r="K338" i="19"/>
  <c r="M43" i="20"/>
  <c r="M41" i="20" s="1"/>
  <c r="P58" i="20"/>
  <c r="M68" i="20"/>
  <c r="P68" i="20" s="1"/>
  <c r="O74" i="20"/>
  <c r="L134" i="20"/>
  <c r="O137" i="20"/>
  <c r="O168" i="20"/>
  <c r="P173" i="20"/>
  <c r="L217" i="20"/>
  <c r="O217" i="20" s="1"/>
  <c r="P266" i="20"/>
  <c r="M395" i="20"/>
  <c r="P395" i="20" s="1"/>
  <c r="P397" i="20"/>
  <c r="M391" i="20"/>
  <c r="P391" i="20" s="1"/>
  <c r="L469" i="20"/>
  <c r="O469" i="20" s="1"/>
  <c r="K669" i="20"/>
  <c r="K674" i="20"/>
  <c r="K672" i="20"/>
  <c r="K675" i="20"/>
  <c r="M121" i="19"/>
  <c r="P121" i="19" s="1"/>
  <c r="M26" i="20"/>
  <c r="M16" i="20" s="1"/>
  <c r="L209" i="20"/>
  <c r="O209" i="20" s="1"/>
  <c r="N347" i="20"/>
  <c r="N345" i="20" s="1"/>
  <c r="L547" i="20"/>
  <c r="O547" i="20" s="1"/>
  <c r="O549" i="20"/>
  <c r="L658" i="20"/>
  <c r="O658" i="20" s="1"/>
  <c r="O660" i="20"/>
  <c r="L657" i="20"/>
  <c r="L134" i="19"/>
  <c r="O134" i="19" s="1"/>
  <c r="L228" i="19"/>
  <c r="K369" i="19"/>
  <c r="K649" i="19"/>
  <c r="L36" i="20"/>
  <c r="O36" i="20" s="1"/>
  <c r="O58" i="20"/>
  <c r="I76" i="20"/>
  <c r="K76" i="20" s="1"/>
  <c r="I77" i="20"/>
  <c r="I65" i="20" s="1"/>
  <c r="K65" i="20" s="1"/>
  <c r="K116" i="20"/>
  <c r="M122" i="20"/>
  <c r="P122" i="20" s="1"/>
  <c r="M151" i="20"/>
  <c r="M149" i="20" s="1"/>
  <c r="P149" i="20" s="1"/>
  <c r="M167" i="20"/>
  <c r="L183" i="20"/>
  <c r="L187" i="20"/>
  <c r="O187" i="20" s="1"/>
  <c r="N263" i="20"/>
  <c r="O269" i="20"/>
  <c r="L26" i="20"/>
  <c r="L24" i="20" s="1"/>
  <c r="J327" i="20"/>
  <c r="K327" i="20" s="1"/>
  <c r="L334" i="20"/>
  <c r="O334" i="20" s="1"/>
  <c r="P353" i="20"/>
  <c r="I442" i="20"/>
  <c r="K442" i="20" s="1"/>
  <c r="K460" i="20"/>
  <c r="O353" i="20"/>
  <c r="L687" i="20"/>
  <c r="O687" i="20" s="1"/>
  <c r="J364" i="20"/>
  <c r="L395" i="20"/>
  <c r="O395" i="20" s="1"/>
  <c r="L421" i="20"/>
  <c r="O421" i="20" s="1"/>
  <c r="I433" i="20"/>
  <c r="I417" i="20" s="1"/>
  <c r="M404" i="20"/>
  <c r="L525" i="20"/>
  <c r="O525" i="20" s="1"/>
  <c r="K700" i="20"/>
  <c r="K723" i="20"/>
  <c r="K822" i="20"/>
  <c r="K828" i="20"/>
  <c r="N317" i="17"/>
  <c r="N315" i="17" s="1"/>
  <c r="L43" i="18"/>
  <c r="L41" i="18" s="1"/>
  <c r="M68" i="18"/>
  <c r="M66" i="18" s="1"/>
  <c r="K145" i="18"/>
  <c r="N404" i="18"/>
  <c r="N402" i="18" s="1"/>
  <c r="K823" i="18"/>
  <c r="L69" i="19"/>
  <c r="O69" i="19" s="1"/>
  <c r="P93" i="19"/>
  <c r="M125" i="19"/>
  <c r="P125" i="19" s="1"/>
  <c r="M283" i="19"/>
  <c r="P283" i="19" s="1"/>
  <c r="L347" i="19"/>
  <c r="L345" i="19" s="1"/>
  <c r="M405" i="19"/>
  <c r="P405" i="19" s="1"/>
  <c r="K651" i="19"/>
  <c r="J722" i="19"/>
  <c r="K722" i="19" s="1"/>
  <c r="K823" i="19"/>
  <c r="M9" i="20"/>
  <c r="P12" i="20"/>
  <c r="M15" i="20"/>
  <c r="P19" i="20"/>
  <c r="N23" i="20"/>
  <c r="P25" i="20"/>
  <c r="M29" i="20"/>
  <c r="P32" i="20"/>
  <c r="O54" i="20"/>
  <c r="N68" i="20"/>
  <c r="N66" i="20" s="1"/>
  <c r="K98" i="20"/>
  <c r="I86" i="20"/>
  <c r="K86" i="20" s="1"/>
  <c r="L122" i="20"/>
  <c r="O122" i="20" s="1"/>
  <c r="O150" i="20"/>
  <c r="K159" i="20"/>
  <c r="K216" i="20"/>
  <c r="N317" i="20"/>
  <c r="N315" i="20" s="1"/>
  <c r="M318" i="17"/>
  <c r="P318" i="17" s="1"/>
  <c r="M72" i="19"/>
  <c r="P72" i="19" s="1"/>
  <c r="O91" i="19"/>
  <c r="P127" i="19"/>
  <c r="J143" i="19"/>
  <c r="J131" i="19" s="1"/>
  <c r="L392" i="19"/>
  <c r="O392" i="19" s="1"/>
  <c r="M408" i="19"/>
  <c r="P408" i="19" s="1"/>
  <c r="I164" i="20"/>
  <c r="K164" i="20" s="1"/>
  <c r="L228" i="20"/>
  <c r="L249" i="20"/>
  <c r="O249" i="20" s="1"/>
  <c r="O333" i="20"/>
  <c r="L331" i="20"/>
  <c r="L330" i="20"/>
  <c r="L321" i="16"/>
  <c r="O321" i="16" s="1"/>
  <c r="L135" i="19"/>
  <c r="O135" i="19" s="1"/>
  <c r="L395" i="19"/>
  <c r="O395" i="19" s="1"/>
  <c r="L547" i="19"/>
  <c r="O547" i="19" s="1"/>
  <c r="L12" i="20"/>
  <c r="L19" i="20"/>
  <c r="O329" i="20"/>
  <c r="I76" i="18"/>
  <c r="K76" i="18" s="1"/>
  <c r="O125" i="18"/>
  <c r="N55" i="19"/>
  <c r="N53" i="19" s="1"/>
  <c r="L151" i="19"/>
  <c r="L149" i="19" s="1"/>
  <c r="O186" i="19"/>
  <c r="L198" i="19"/>
  <c r="O198" i="19" s="1"/>
  <c r="M263" i="19"/>
  <c r="P263" i="19" s="1"/>
  <c r="M279" i="19"/>
  <c r="P279" i="19" s="1"/>
  <c r="K821" i="19"/>
  <c r="N26" i="20"/>
  <c r="O46" i="20"/>
  <c r="L121" i="20"/>
  <c r="O121" i="20" s="1"/>
  <c r="M125" i="20"/>
  <c r="P125" i="20" s="1"/>
  <c r="J143" i="20"/>
  <c r="J131" i="20" s="1"/>
  <c r="L155" i="20"/>
  <c r="O155" i="20" s="1"/>
  <c r="K193" i="20"/>
  <c r="N300" i="20"/>
  <c r="N298" i="20" s="1"/>
  <c r="P125" i="18"/>
  <c r="K647" i="19"/>
  <c r="I654" i="19"/>
  <c r="K654" i="19" s="1"/>
  <c r="K720" i="19"/>
  <c r="K825" i="19"/>
  <c r="K828" i="19"/>
  <c r="N12" i="20"/>
  <c r="L23" i="20"/>
  <c r="L21" i="20" s="1"/>
  <c r="N43" i="20"/>
  <c r="P46" i="20"/>
  <c r="L68" i="20"/>
  <c r="M121" i="20"/>
  <c r="N134" i="20"/>
  <c r="N132" i="20" s="1"/>
  <c r="K144" i="20"/>
  <c r="L151" i="20"/>
  <c r="O151" i="20" s="1"/>
  <c r="M155" i="20"/>
  <c r="P155" i="20" s="1"/>
  <c r="P316" i="20"/>
  <c r="L318" i="20"/>
  <c r="O318" i="20" s="1"/>
  <c r="L317" i="20"/>
  <c r="O320" i="20"/>
  <c r="O184" i="19"/>
  <c r="O120" i="20"/>
  <c r="K145" i="20"/>
  <c r="I143" i="20"/>
  <c r="K244" i="20"/>
  <c r="I237" i="20"/>
  <c r="L321" i="20"/>
  <c r="O321" i="20" s="1"/>
  <c r="O323" i="20"/>
  <c r="I275" i="20"/>
  <c r="K275" i="20" s="1"/>
  <c r="M317" i="20"/>
  <c r="P317" i="20" s="1"/>
  <c r="L391" i="20"/>
  <c r="O391" i="20" s="1"/>
  <c r="L422" i="20"/>
  <c r="O422" i="20" s="1"/>
  <c r="M444" i="20"/>
  <c r="P444" i="20" s="1"/>
  <c r="I522" i="20"/>
  <c r="K522" i="20" s="1"/>
  <c r="O535" i="20"/>
  <c r="L631" i="20"/>
  <c r="L639" i="20"/>
  <c r="O639" i="20" s="1"/>
  <c r="P755" i="20"/>
  <c r="M754" i="20"/>
  <c r="P754" i="20" s="1"/>
  <c r="M544" i="20"/>
  <c r="P544" i="20" s="1"/>
  <c r="P687" i="20"/>
  <c r="M685" i="20"/>
  <c r="P685" i="20" s="1"/>
  <c r="L737" i="20"/>
  <c r="O737" i="20" s="1"/>
  <c r="L770" i="20"/>
  <c r="O770" i="20" s="1"/>
  <c r="M348" i="20"/>
  <c r="P348" i="20" s="1"/>
  <c r="L502" i="20"/>
  <c r="O502" i="20" s="1"/>
  <c r="N523" i="20"/>
  <c r="O686" i="20"/>
  <c r="I785" i="20"/>
  <c r="K785" i="20" s="1"/>
  <c r="K800" i="20"/>
  <c r="P807" i="20"/>
  <c r="M805" i="20"/>
  <c r="P805" i="20" s="1"/>
  <c r="P738" i="20"/>
  <c r="M737" i="20"/>
  <c r="P737" i="20" s="1"/>
  <c r="P771" i="20"/>
  <c r="M770" i="20"/>
  <c r="P770" i="20" s="1"/>
  <c r="L789" i="20"/>
  <c r="O789" i="20" s="1"/>
  <c r="O791" i="20"/>
  <c r="O806" i="20"/>
  <c r="L805" i="20"/>
  <c r="O805" i="20" s="1"/>
  <c r="L351" i="20"/>
  <c r="O351" i="20" s="1"/>
  <c r="O390" i="20"/>
  <c r="L392" i="20"/>
  <c r="O392" i="20" s="1"/>
  <c r="L446" i="20"/>
  <c r="O446" i="20" s="1"/>
  <c r="K462" i="20"/>
  <c r="L477" i="20"/>
  <c r="O477" i="20" s="1"/>
  <c r="N504" i="20"/>
  <c r="N502" i="20" s="1"/>
  <c r="N414" i="20" s="1"/>
  <c r="N505" i="20"/>
  <c r="K538" i="20"/>
  <c r="N544" i="20"/>
  <c r="L632" i="20"/>
  <c r="O632" i="20" s="1"/>
  <c r="N685" i="20"/>
  <c r="L754" i="20"/>
  <c r="O754" i="20" s="1"/>
  <c r="P788" i="20"/>
  <c r="M786" i="20"/>
  <c r="P786" i="20" s="1"/>
  <c r="K825" i="20"/>
  <c r="O787" i="20"/>
  <c r="L786" i="20"/>
  <c r="O786" i="20" s="1"/>
  <c r="N805" i="20"/>
  <c r="N808" i="20"/>
  <c r="L555" i="20"/>
  <c r="O555" i="20" s="1"/>
  <c r="J433" i="20"/>
  <c r="L546" i="20"/>
  <c r="O546" i="20" s="1"/>
  <c r="L454" i="8"/>
  <c r="O454" i="8" s="1"/>
  <c r="L555" i="3"/>
  <c r="O555" i="3" s="1"/>
  <c r="L167" i="16"/>
  <c r="L165" i="16" s="1"/>
  <c r="N318" i="17"/>
  <c r="M47" i="19"/>
  <c r="P47" i="19" s="1"/>
  <c r="O58" i="19"/>
  <c r="M138" i="19"/>
  <c r="P138" i="19" s="1"/>
  <c r="N167" i="19"/>
  <c r="N165" i="19" s="1"/>
  <c r="O170" i="19"/>
  <c r="L217" i="19"/>
  <c r="O217" i="19" s="1"/>
  <c r="K309" i="19"/>
  <c r="M318" i="19"/>
  <c r="P318" i="19" s="1"/>
  <c r="N331" i="19"/>
  <c r="K360" i="19"/>
  <c r="L404" i="19"/>
  <c r="L402" i="19" s="1"/>
  <c r="O402" i="19" s="1"/>
  <c r="K672" i="19"/>
  <c r="L688" i="19"/>
  <c r="O688" i="19" s="1"/>
  <c r="K827" i="19"/>
  <c r="L395" i="18"/>
  <c r="O395" i="18" s="1"/>
  <c r="K577" i="18"/>
  <c r="L36" i="19"/>
  <c r="O36" i="19" s="1"/>
  <c r="M94" i="19"/>
  <c r="P94" i="19" s="1"/>
  <c r="L122" i="19"/>
  <c r="O122" i="19" s="1"/>
  <c r="I143" i="19"/>
  <c r="K145" i="19"/>
  <c r="M171" i="19"/>
  <c r="P171" i="19" s="1"/>
  <c r="P189" i="19"/>
  <c r="I216" i="19"/>
  <c r="K216" i="19" s="1"/>
  <c r="L263" i="19"/>
  <c r="L261" i="19" s="1"/>
  <c r="M321" i="19"/>
  <c r="P321" i="19" s="1"/>
  <c r="O333" i="18"/>
  <c r="L43" i="19"/>
  <c r="L41" i="19" s="1"/>
  <c r="L121" i="19"/>
  <c r="O121" i="19" s="1"/>
  <c r="L209" i="19"/>
  <c r="O209" i="19" s="1"/>
  <c r="K340" i="19"/>
  <c r="K374" i="19"/>
  <c r="L405" i="19"/>
  <c r="O405" i="19" s="1"/>
  <c r="K725" i="19"/>
  <c r="L788" i="19"/>
  <c r="P333" i="18"/>
  <c r="P46" i="19"/>
  <c r="O56" i="19"/>
  <c r="K174" i="19"/>
  <c r="L229" i="19"/>
  <c r="O333" i="19"/>
  <c r="L477" i="5"/>
  <c r="O477" i="5" s="1"/>
  <c r="P58" i="19"/>
  <c r="M26" i="19"/>
  <c r="M16" i="19" s="1"/>
  <c r="K99" i="19"/>
  <c r="O348" i="19"/>
  <c r="O46" i="19"/>
  <c r="L59" i="19"/>
  <c r="O59" i="19" s="1"/>
  <c r="L68" i="19"/>
  <c r="O68" i="19" s="1"/>
  <c r="O96" i="19"/>
  <c r="L125" i="19"/>
  <c r="O125" i="19" s="1"/>
  <c r="N134" i="19"/>
  <c r="N132" i="19" s="1"/>
  <c r="P170" i="19"/>
  <c r="O189" i="19"/>
  <c r="I208" i="19"/>
  <c r="K208" i="19" s="1"/>
  <c r="O282" i="19"/>
  <c r="J288" i="19"/>
  <c r="J275" i="19" s="1"/>
  <c r="K325" i="19"/>
  <c r="L330" i="19"/>
  <c r="L328" i="19" s="1"/>
  <c r="O336" i="19"/>
  <c r="O634" i="19"/>
  <c r="M408" i="17"/>
  <c r="P408" i="17" s="1"/>
  <c r="M321" i="18"/>
  <c r="P321" i="18" s="1"/>
  <c r="L331" i="18"/>
  <c r="O331" i="18" s="1"/>
  <c r="M59" i="19"/>
  <c r="P59" i="19" s="1"/>
  <c r="P61" i="19"/>
  <c r="M68" i="19"/>
  <c r="P68" i="19" s="1"/>
  <c r="K100" i="19"/>
  <c r="L183" i="19"/>
  <c r="L181" i="19" s="1"/>
  <c r="P184" i="19"/>
  <c r="I237" i="19"/>
  <c r="K237" i="19" s="1"/>
  <c r="L249" i="19"/>
  <c r="O249" i="19" s="1"/>
  <c r="I276" i="19"/>
  <c r="K276" i="19" s="1"/>
  <c r="L279" i="19"/>
  <c r="O279" i="19" s="1"/>
  <c r="K288" i="19"/>
  <c r="P301" i="19"/>
  <c r="M317" i="19"/>
  <c r="L331" i="19"/>
  <c r="P336" i="19"/>
  <c r="J327" i="19"/>
  <c r="K327" i="19" s="1"/>
  <c r="K370" i="19"/>
  <c r="O424" i="19"/>
  <c r="L526" i="19"/>
  <c r="O526" i="19" s="1"/>
  <c r="O632" i="19"/>
  <c r="L658" i="19"/>
  <c r="O658" i="19" s="1"/>
  <c r="O49" i="17"/>
  <c r="L33" i="19"/>
  <c r="L31" i="19" s="1"/>
  <c r="O31" i="19" s="1"/>
  <c r="O127" i="19"/>
  <c r="L267" i="19"/>
  <c r="O267" i="19" s="1"/>
  <c r="O269" i="19"/>
  <c r="K297" i="19"/>
  <c r="N300" i="19"/>
  <c r="N298" i="19" s="1"/>
  <c r="N317" i="19"/>
  <c r="N315" i="19" s="1"/>
  <c r="K359" i="19"/>
  <c r="J364" i="19"/>
  <c r="P397" i="19"/>
  <c r="L454" i="19"/>
  <c r="O454" i="19" s="1"/>
  <c r="L639" i="19"/>
  <c r="O639" i="19" s="1"/>
  <c r="K723" i="19"/>
  <c r="J721" i="19"/>
  <c r="K721" i="19" s="1"/>
  <c r="I208" i="16"/>
  <c r="K208" i="16" s="1"/>
  <c r="N43" i="19"/>
  <c r="N279" i="19"/>
  <c r="N277" i="19" s="1"/>
  <c r="N404" i="19"/>
  <c r="N402" i="19" s="1"/>
  <c r="M55" i="17"/>
  <c r="M53" i="17" s="1"/>
  <c r="L547" i="18"/>
  <c r="O547" i="18" s="1"/>
  <c r="J722" i="18"/>
  <c r="K821" i="18"/>
  <c r="L23" i="19"/>
  <c r="L21" i="19" s="1"/>
  <c r="L44" i="19"/>
  <c r="O44" i="19" s="1"/>
  <c r="L72" i="19"/>
  <c r="O72" i="19" s="1"/>
  <c r="L90" i="19"/>
  <c r="L88" i="19" s="1"/>
  <c r="N90" i="19"/>
  <c r="N88" i="19" s="1"/>
  <c r="M167" i="19"/>
  <c r="O353" i="19"/>
  <c r="K379" i="19"/>
  <c r="L391" i="19"/>
  <c r="O391" i="19" s="1"/>
  <c r="L408" i="19"/>
  <c r="O408" i="19" s="1"/>
  <c r="I443" i="19"/>
  <c r="K443" i="19" s="1"/>
  <c r="L555" i="19"/>
  <c r="O555" i="19" s="1"/>
  <c r="L657" i="19"/>
  <c r="L655" i="19" s="1"/>
  <c r="O655" i="19" s="1"/>
  <c r="K826" i="19"/>
  <c r="K822" i="19"/>
  <c r="N9" i="19"/>
  <c r="N34" i="19"/>
  <c r="N30" i="19"/>
  <c r="N28" i="19" s="1"/>
  <c r="P54" i="19"/>
  <c r="L267" i="17"/>
  <c r="O267" i="17" s="1"/>
  <c r="I190" i="18"/>
  <c r="K190" i="18" s="1"/>
  <c r="L230" i="18"/>
  <c r="K338" i="18"/>
  <c r="L546" i="18"/>
  <c r="O546" i="18" s="1"/>
  <c r="M47" i="17"/>
  <c r="P47" i="17" s="1"/>
  <c r="O170" i="18"/>
  <c r="L231" i="18"/>
  <c r="O15" i="19"/>
  <c r="M34" i="19"/>
  <c r="P34" i="19" s="1"/>
  <c r="M15" i="19"/>
  <c r="M29" i="19"/>
  <c r="P35" i="19"/>
  <c r="O353" i="17"/>
  <c r="K362" i="17"/>
  <c r="K649" i="17"/>
  <c r="K725" i="17"/>
  <c r="N90" i="18"/>
  <c r="N88" i="18" s="1"/>
  <c r="K100" i="18"/>
  <c r="M151" i="18"/>
  <c r="P151" i="18" s="1"/>
  <c r="L167" i="18"/>
  <c r="L165" i="18" s="1"/>
  <c r="L249" i="18"/>
  <c r="O249" i="18" s="1"/>
  <c r="N279" i="18"/>
  <c r="N277" i="18" s="1"/>
  <c r="M347" i="18"/>
  <c r="M345" i="18" s="1"/>
  <c r="K369" i="18"/>
  <c r="K372" i="18"/>
  <c r="K385" i="18"/>
  <c r="I442" i="18"/>
  <c r="K442" i="18" s="1"/>
  <c r="K647" i="18"/>
  <c r="K729" i="17"/>
  <c r="L33" i="18"/>
  <c r="L31" i="18" s="1"/>
  <c r="O31" i="18" s="1"/>
  <c r="P56" i="18"/>
  <c r="N68" i="18"/>
  <c r="M152" i="18"/>
  <c r="P152" i="18" s="1"/>
  <c r="O19" i="19"/>
  <c r="P42" i="19"/>
  <c r="P168" i="19"/>
  <c r="O168" i="19"/>
  <c r="K729" i="13"/>
  <c r="L155" i="18"/>
  <c r="O155" i="18" s="1"/>
  <c r="L347" i="18"/>
  <c r="L345" i="18" s="1"/>
  <c r="I443" i="18"/>
  <c r="K443" i="18" s="1"/>
  <c r="L55" i="19"/>
  <c r="I76" i="19"/>
  <c r="I77" i="19"/>
  <c r="J164" i="19"/>
  <c r="K164" i="19" s="1"/>
  <c r="P166" i="19"/>
  <c r="N183" i="19"/>
  <c r="N181" i="19" s="1"/>
  <c r="L238" i="19"/>
  <c r="P262" i="19"/>
  <c r="P266" i="19"/>
  <c r="M264" i="19"/>
  <c r="P264" i="19" s="1"/>
  <c r="O299" i="19"/>
  <c r="O329" i="19"/>
  <c r="N347" i="19"/>
  <c r="O350" i="19"/>
  <c r="N391" i="19"/>
  <c r="N389" i="19" s="1"/>
  <c r="J433" i="19"/>
  <c r="J417" i="19" s="1"/>
  <c r="K435" i="19"/>
  <c r="I433" i="19"/>
  <c r="I442" i="19"/>
  <c r="K442" i="19" s="1"/>
  <c r="K460" i="19"/>
  <c r="L12" i="19"/>
  <c r="M55" i="19"/>
  <c r="K79" i="19"/>
  <c r="J87" i="19"/>
  <c r="K87" i="19" s="1"/>
  <c r="K98" i="19"/>
  <c r="O154" i="19"/>
  <c r="O173" i="19"/>
  <c r="P186" i="19"/>
  <c r="P329" i="19"/>
  <c r="K372" i="19"/>
  <c r="P403" i="19"/>
  <c r="I522" i="19"/>
  <c r="K522" i="19" s="1"/>
  <c r="K537" i="19"/>
  <c r="J537" i="19"/>
  <c r="J522" i="19" s="1"/>
  <c r="N68" i="19"/>
  <c r="N66" i="19" s="1"/>
  <c r="M91" i="19"/>
  <c r="P91" i="19" s="1"/>
  <c r="P137" i="19"/>
  <c r="M134" i="19"/>
  <c r="L167" i="19"/>
  <c r="I233" i="19"/>
  <c r="K233" i="19" s="1"/>
  <c r="N304" i="19"/>
  <c r="P306" i="19"/>
  <c r="M304" i="19"/>
  <c r="P304" i="19" s="1"/>
  <c r="N351" i="19"/>
  <c r="O351" i="19" s="1"/>
  <c r="M351" i="19"/>
  <c r="P353" i="19"/>
  <c r="I364" i="19"/>
  <c r="K365" i="19"/>
  <c r="N152" i="19"/>
  <c r="O152" i="19" s="1"/>
  <c r="N151" i="19"/>
  <c r="M23" i="19"/>
  <c r="M21" i="19" s="1"/>
  <c r="P67" i="19"/>
  <c r="N121" i="19"/>
  <c r="N119" i="19" s="1"/>
  <c r="K146" i="19"/>
  <c r="P154" i="19"/>
  <c r="O278" i="19"/>
  <c r="L301" i="19"/>
  <c r="O301" i="19" s="1"/>
  <c r="O303" i="19"/>
  <c r="L300" i="19"/>
  <c r="O323" i="19"/>
  <c r="L317" i="19"/>
  <c r="O317" i="19" s="1"/>
  <c r="N334" i="19"/>
  <c r="N330" i="19"/>
  <c r="L502" i="19"/>
  <c r="O502" i="19" s="1"/>
  <c r="O503" i="19"/>
  <c r="M9" i="19"/>
  <c r="N19" i="19"/>
  <c r="N23" i="19"/>
  <c r="N26" i="19"/>
  <c r="L26" i="19"/>
  <c r="M56" i="19"/>
  <c r="P56" i="19" s="1"/>
  <c r="P71" i="19"/>
  <c r="M69" i="19"/>
  <c r="P69" i="19" s="1"/>
  <c r="M90" i="19"/>
  <c r="O93" i="19"/>
  <c r="K116" i="19"/>
  <c r="I112" i="19"/>
  <c r="K112" i="19" s="1"/>
  <c r="I148" i="19"/>
  <c r="K148" i="19" s="1"/>
  <c r="M183" i="19"/>
  <c r="K204" i="19"/>
  <c r="I197" i="19"/>
  <c r="K197" i="19" s="1"/>
  <c r="L230" i="19"/>
  <c r="I248" i="19"/>
  <c r="K248" i="19" s="1"/>
  <c r="O262" i="19"/>
  <c r="P278" i="19"/>
  <c r="L283" i="19"/>
  <c r="O283" i="19" s="1"/>
  <c r="O285" i="19"/>
  <c r="P303" i="19"/>
  <c r="M300" i="19"/>
  <c r="L321" i="19"/>
  <c r="O321" i="19" s="1"/>
  <c r="M331" i="19"/>
  <c r="M330" i="19"/>
  <c r="M348" i="19"/>
  <c r="P348" i="19" s="1"/>
  <c r="P350" i="19"/>
  <c r="M347" i="19"/>
  <c r="M392" i="19"/>
  <c r="P392" i="19" s="1"/>
  <c r="P394" i="19"/>
  <c r="M267" i="19"/>
  <c r="P267" i="19" s="1"/>
  <c r="J355" i="19"/>
  <c r="K355" i="19" s="1"/>
  <c r="K362" i="19"/>
  <c r="O472" i="19"/>
  <c r="L470" i="19"/>
  <c r="O470" i="19" s="1"/>
  <c r="L469" i="19"/>
  <c r="K381" i="19"/>
  <c r="O390" i="19"/>
  <c r="M419" i="19"/>
  <c r="K440" i="19"/>
  <c r="I434" i="19"/>
  <c r="N505" i="19"/>
  <c r="N502" i="19"/>
  <c r="N414" i="19" s="1"/>
  <c r="I592" i="19"/>
  <c r="K592" i="19" s="1"/>
  <c r="K593" i="19"/>
  <c r="K594" i="19"/>
  <c r="M502" i="19"/>
  <c r="P502" i="19" s="1"/>
  <c r="P504" i="19"/>
  <c r="K465" i="19"/>
  <c r="L525" i="19"/>
  <c r="O535" i="19"/>
  <c r="M545" i="19"/>
  <c r="I559" i="19"/>
  <c r="I628" i="19"/>
  <c r="K628" i="19" s="1"/>
  <c r="P630" i="19"/>
  <c r="K669" i="19"/>
  <c r="K673" i="19"/>
  <c r="L687" i="19"/>
  <c r="N740" i="19"/>
  <c r="N757" i="19"/>
  <c r="N773" i="19"/>
  <c r="L421" i="19"/>
  <c r="L446" i="19"/>
  <c r="L631" i="19"/>
  <c r="O631" i="19" s="1"/>
  <c r="N631" i="19"/>
  <c r="N629" i="19" s="1"/>
  <c r="K675" i="19"/>
  <c r="M685" i="19"/>
  <c r="P685" i="19" s="1"/>
  <c r="M786" i="19"/>
  <c r="P786" i="19" s="1"/>
  <c r="M805" i="19"/>
  <c r="P805" i="19" s="1"/>
  <c r="L546" i="19"/>
  <c r="O546" i="19" s="1"/>
  <c r="O303" i="17"/>
  <c r="M55" i="18"/>
  <c r="M53" i="18" s="1"/>
  <c r="O269" i="18"/>
  <c r="L267" i="18"/>
  <c r="O267" i="18" s="1"/>
  <c r="L789" i="18"/>
  <c r="O789" i="18" s="1"/>
  <c r="L788" i="18"/>
  <c r="O791" i="18"/>
  <c r="P58" i="16"/>
  <c r="L249" i="17"/>
  <c r="O249" i="17" s="1"/>
  <c r="M267" i="17"/>
  <c r="P267" i="17" s="1"/>
  <c r="L72" i="18"/>
  <c r="O72" i="18" s="1"/>
  <c r="P124" i="18"/>
  <c r="M121" i="18"/>
  <c r="M119" i="18" s="1"/>
  <c r="M155" i="18"/>
  <c r="P155" i="18" s="1"/>
  <c r="P157" i="18"/>
  <c r="N168" i="18"/>
  <c r="O168" i="18" s="1"/>
  <c r="M171" i="18"/>
  <c r="P171" i="18" s="1"/>
  <c r="I237" i="18"/>
  <c r="K237" i="18" s="1"/>
  <c r="L317" i="18"/>
  <c r="L315" i="18" s="1"/>
  <c r="O323" i="18"/>
  <c r="K374" i="18"/>
  <c r="K379" i="18"/>
  <c r="M183" i="17"/>
  <c r="M181" i="17" s="1"/>
  <c r="P96" i="18"/>
  <c r="M94" i="18"/>
  <c r="P94" i="18" s="1"/>
  <c r="L209" i="18"/>
  <c r="O209" i="18" s="1"/>
  <c r="P266" i="18"/>
  <c r="M264" i="18"/>
  <c r="P264" i="18" s="1"/>
  <c r="O348" i="18"/>
  <c r="K672" i="18"/>
  <c r="I654" i="18"/>
  <c r="K654" i="18" s="1"/>
  <c r="N134" i="17"/>
  <c r="N132" i="17" s="1"/>
  <c r="L90" i="16"/>
  <c r="L88" i="16" s="1"/>
  <c r="L90" i="17"/>
  <c r="L88" i="17" s="1"/>
  <c r="M121" i="17"/>
  <c r="M119" i="17" s="1"/>
  <c r="P119" i="17" s="1"/>
  <c r="N138" i="17"/>
  <c r="O140" i="18"/>
  <c r="L138" i="18"/>
  <c r="O138" i="18" s="1"/>
  <c r="L184" i="18"/>
  <c r="L183" i="18"/>
  <c r="L181" i="18" s="1"/>
  <c r="M187" i="18"/>
  <c r="P187" i="18" s="1"/>
  <c r="P189" i="18"/>
  <c r="M301" i="18"/>
  <c r="P301" i="18" s="1"/>
  <c r="L263" i="16"/>
  <c r="L261" i="16" s="1"/>
  <c r="M155" i="17"/>
  <c r="P155" i="17" s="1"/>
  <c r="P282" i="17"/>
  <c r="P74" i="18"/>
  <c r="M72" i="18"/>
  <c r="P72" i="18" s="1"/>
  <c r="N134" i="18"/>
  <c r="N132" i="18" s="1"/>
  <c r="N135" i="18"/>
  <c r="K800" i="18"/>
  <c r="I785" i="18"/>
  <c r="K785" i="18" s="1"/>
  <c r="O353" i="18"/>
  <c r="I434" i="18"/>
  <c r="K98" i="18"/>
  <c r="K176" i="18"/>
  <c r="P320" i="18"/>
  <c r="K340" i="18"/>
  <c r="N351" i="18"/>
  <c r="O351" i="18" s="1"/>
  <c r="K355" i="18"/>
  <c r="K440" i="18"/>
  <c r="O58" i="18"/>
  <c r="O61" i="18"/>
  <c r="O69" i="18"/>
  <c r="N330" i="18"/>
  <c r="N328" i="18" s="1"/>
  <c r="K365" i="18"/>
  <c r="K370" i="18"/>
  <c r="K381" i="18"/>
  <c r="N391" i="18"/>
  <c r="N389" i="18" s="1"/>
  <c r="O528" i="18"/>
  <c r="P44" i="18"/>
  <c r="J537" i="18"/>
  <c r="J522" i="18" s="1"/>
  <c r="K522" i="18" s="1"/>
  <c r="K538" i="18"/>
  <c r="N330" i="14"/>
  <c r="N328" i="14" s="1"/>
  <c r="O69" i="17"/>
  <c r="P184" i="17"/>
  <c r="L23" i="18"/>
  <c r="L21" i="18" s="1"/>
  <c r="M47" i="18"/>
  <c r="P47" i="18" s="1"/>
  <c r="N26" i="18"/>
  <c r="N16" i="18" s="1"/>
  <c r="L68" i="18"/>
  <c r="L66" i="18" s="1"/>
  <c r="O127" i="18"/>
  <c r="L151" i="18"/>
  <c r="L152" i="18"/>
  <c r="O152" i="18" s="1"/>
  <c r="O189" i="18"/>
  <c r="L187" i="18"/>
  <c r="O187" i="18" s="1"/>
  <c r="N280" i="18"/>
  <c r="P280" i="18" s="1"/>
  <c r="M283" i="18"/>
  <c r="P283" i="18" s="1"/>
  <c r="L125" i="16"/>
  <c r="O125" i="16" s="1"/>
  <c r="L229" i="17"/>
  <c r="O422" i="17"/>
  <c r="L525" i="17"/>
  <c r="O525" i="17" s="1"/>
  <c r="K823" i="17"/>
  <c r="K826" i="17"/>
  <c r="L36" i="18"/>
  <c r="L34" i="18" s="1"/>
  <c r="O34" i="18" s="1"/>
  <c r="L56" i="18"/>
  <c r="O56" i="18" s="1"/>
  <c r="M122" i="18"/>
  <c r="P122" i="18" s="1"/>
  <c r="P127" i="18"/>
  <c r="L134" i="18"/>
  <c r="O134" i="18" s="1"/>
  <c r="O137" i="18"/>
  <c r="J143" i="18"/>
  <c r="J131" i="18" s="1"/>
  <c r="L217" i="18"/>
  <c r="O217" i="18" s="1"/>
  <c r="K362" i="18"/>
  <c r="K827" i="18"/>
  <c r="L405" i="17"/>
  <c r="O405" i="17" s="1"/>
  <c r="O186" i="18"/>
  <c r="N184" i="18"/>
  <c r="P269" i="18"/>
  <c r="M267" i="18"/>
  <c r="P267" i="18" s="1"/>
  <c r="O336" i="18"/>
  <c r="L330" i="18"/>
  <c r="L328" i="18" s="1"/>
  <c r="L334" i="18"/>
  <c r="O334" i="18" s="1"/>
  <c r="I197" i="15"/>
  <c r="K197" i="15" s="1"/>
  <c r="N134" i="16"/>
  <c r="N132" i="16" s="1"/>
  <c r="J143" i="16"/>
  <c r="J131" i="16" s="1"/>
  <c r="O140" i="17"/>
  <c r="M151" i="17"/>
  <c r="M149" i="17" s="1"/>
  <c r="K369" i="17"/>
  <c r="K372" i="17"/>
  <c r="K651" i="17"/>
  <c r="K821" i="17"/>
  <c r="K824" i="17"/>
  <c r="K827" i="17"/>
  <c r="O46" i="18"/>
  <c r="N94" i="18"/>
  <c r="M135" i="18"/>
  <c r="P135" i="18" s="1"/>
  <c r="L171" i="18"/>
  <c r="O171" i="18" s="1"/>
  <c r="O173" i="18"/>
  <c r="K164" i="18"/>
  <c r="K215" i="18"/>
  <c r="I208" i="18"/>
  <c r="K208" i="18" s="1"/>
  <c r="L304" i="18"/>
  <c r="O304" i="18" s="1"/>
  <c r="N317" i="18"/>
  <c r="N315" i="18" s="1"/>
  <c r="O320" i="18"/>
  <c r="N318" i="18"/>
  <c r="O318" i="18" s="1"/>
  <c r="L391" i="18"/>
  <c r="O391" i="18" s="1"/>
  <c r="O394" i="18"/>
  <c r="O71" i="18"/>
  <c r="L121" i="18"/>
  <c r="L119" i="18" s="1"/>
  <c r="O124" i="18"/>
  <c r="M304" i="18"/>
  <c r="P304" i="18" s="1"/>
  <c r="M318" i="18"/>
  <c r="J433" i="18"/>
  <c r="J417" i="18" s="1"/>
  <c r="L469" i="18"/>
  <c r="O469" i="18" s="1"/>
  <c r="O479" i="18"/>
  <c r="K360" i="18"/>
  <c r="L655" i="18"/>
  <c r="O655" i="18" s="1"/>
  <c r="N263" i="18"/>
  <c r="N261" i="18" s="1"/>
  <c r="L263" i="18"/>
  <c r="L261" i="18" s="1"/>
  <c r="K287" i="18"/>
  <c r="I314" i="18"/>
  <c r="K314" i="18" s="1"/>
  <c r="O634" i="18"/>
  <c r="K651" i="18"/>
  <c r="K828" i="18"/>
  <c r="L198" i="18"/>
  <c r="O198" i="18" s="1"/>
  <c r="L238" i="18"/>
  <c r="O238" i="18" s="1"/>
  <c r="L264" i="18"/>
  <c r="O264" i="18" s="1"/>
  <c r="M263" i="18"/>
  <c r="P263" i="18" s="1"/>
  <c r="L405" i="18"/>
  <c r="O405" i="18" s="1"/>
  <c r="P91" i="18"/>
  <c r="K174" i="18"/>
  <c r="P282" i="18"/>
  <c r="K359" i="18"/>
  <c r="K378" i="18"/>
  <c r="K649" i="18"/>
  <c r="J721" i="18"/>
  <c r="K824" i="18"/>
  <c r="K822" i="18"/>
  <c r="K159" i="16"/>
  <c r="O353" i="16"/>
  <c r="N68" i="17"/>
  <c r="N66" i="17" s="1"/>
  <c r="L155" i="17"/>
  <c r="O155" i="17" s="1"/>
  <c r="O170" i="17"/>
  <c r="L187" i="17"/>
  <c r="O187" i="17" s="1"/>
  <c r="I190" i="17"/>
  <c r="K190" i="17" s="1"/>
  <c r="L228" i="17"/>
  <c r="L546" i="17"/>
  <c r="O546" i="17" s="1"/>
  <c r="I628" i="17"/>
  <c r="K628" i="17" s="1"/>
  <c r="K700" i="17"/>
  <c r="K708" i="17"/>
  <c r="P32" i="18"/>
  <c r="M29" i="18"/>
  <c r="M90" i="18"/>
  <c r="P93" i="18"/>
  <c r="O133" i="18"/>
  <c r="P170" i="18"/>
  <c r="M167" i="18"/>
  <c r="M165" i="18" s="1"/>
  <c r="M168" i="18"/>
  <c r="N151" i="17"/>
  <c r="N149" i="17" s="1"/>
  <c r="N31" i="18"/>
  <c r="N29" i="18"/>
  <c r="N28" i="18" s="1"/>
  <c r="L94" i="18"/>
  <c r="O94" i="18" s="1"/>
  <c r="O96" i="18"/>
  <c r="I87" i="18"/>
  <c r="K87" i="18" s="1"/>
  <c r="K99" i="18"/>
  <c r="K116" i="18"/>
  <c r="I112" i="18"/>
  <c r="K112" i="18" s="1"/>
  <c r="P133" i="18"/>
  <c r="M135" i="15"/>
  <c r="P135" i="15" s="1"/>
  <c r="L43" i="16"/>
  <c r="L41" i="16" s="1"/>
  <c r="O25" i="18"/>
  <c r="L15" i="18"/>
  <c r="L9" i="18" s="1"/>
  <c r="L59" i="18"/>
  <c r="I148" i="18"/>
  <c r="K148" i="18" s="1"/>
  <c r="K159" i="18"/>
  <c r="K708" i="13"/>
  <c r="M59" i="17"/>
  <c r="P59" i="17" s="1"/>
  <c r="N121" i="17"/>
  <c r="N119" i="17" s="1"/>
  <c r="O154" i="17"/>
  <c r="L230" i="17"/>
  <c r="M347" i="17"/>
  <c r="P25" i="18"/>
  <c r="M15" i="18"/>
  <c r="P33" i="18"/>
  <c r="M30" i="18"/>
  <c r="P30" i="18" s="1"/>
  <c r="N59" i="18"/>
  <c r="P59" i="18" s="1"/>
  <c r="P61" i="18"/>
  <c r="N55" i="18"/>
  <c r="O67" i="18"/>
  <c r="K78" i="18"/>
  <c r="I276" i="17"/>
  <c r="K276" i="17" s="1"/>
  <c r="K355" i="17"/>
  <c r="N15" i="18"/>
  <c r="M31" i="18"/>
  <c r="P31" i="18" s="1"/>
  <c r="L44" i="18"/>
  <c r="O44" i="18" s="1"/>
  <c r="P46" i="18"/>
  <c r="M43" i="18"/>
  <c r="M23" i="18"/>
  <c r="L55" i="18"/>
  <c r="P71" i="18"/>
  <c r="M69" i="18"/>
  <c r="P69" i="18" s="1"/>
  <c r="I77" i="18"/>
  <c r="N121" i="18"/>
  <c r="I130" i="18"/>
  <c r="K130" i="18" s="1"/>
  <c r="K146" i="18"/>
  <c r="M68" i="17"/>
  <c r="M66" i="17" s="1"/>
  <c r="L657" i="17"/>
  <c r="O657" i="17" s="1"/>
  <c r="M26" i="18"/>
  <c r="O32" i="18"/>
  <c r="L29" i="18"/>
  <c r="N43" i="18"/>
  <c r="N41" i="18" s="1"/>
  <c r="O49" i="18"/>
  <c r="L47" i="18"/>
  <c r="O47" i="18" s="1"/>
  <c r="L26" i="18"/>
  <c r="N23" i="18"/>
  <c r="L90" i="18"/>
  <c r="L91" i="18"/>
  <c r="O91" i="18" s="1"/>
  <c r="O93" i="18"/>
  <c r="P120" i="18"/>
  <c r="K143" i="18"/>
  <c r="I131" i="18"/>
  <c r="K131" i="18" s="1"/>
  <c r="P58" i="18"/>
  <c r="M134" i="18"/>
  <c r="P134" i="18" s="1"/>
  <c r="N151" i="18"/>
  <c r="N149" i="18" s="1"/>
  <c r="O154" i="18"/>
  <c r="O166" i="18"/>
  <c r="P182" i="18"/>
  <c r="I197" i="18"/>
  <c r="K197" i="18" s="1"/>
  <c r="O266" i="18"/>
  <c r="M279" i="18"/>
  <c r="O282" i="18"/>
  <c r="J327" i="18"/>
  <c r="K327" i="18" s="1"/>
  <c r="J364" i="18"/>
  <c r="M404" i="18"/>
  <c r="I433" i="18"/>
  <c r="K255" i="18"/>
  <c r="I248" i="18"/>
  <c r="K248" i="18" s="1"/>
  <c r="P346" i="18"/>
  <c r="O468" i="18"/>
  <c r="M183" i="18"/>
  <c r="K271" i="18"/>
  <c r="N167" i="18"/>
  <c r="N165" i="18" s="1"/>
  <c r="N183" i="18"/>
  <c r="K224" i="18"/>
  <c r="I275" i="18"/>
  <c r="J288" i="18"/>
  <c r="J275" i="18" s="1"/>
  <c r="N300" i="18"/>
  <c r="N298" i="18" s="1"/>
  <c r="M317" i="18"/>
  <c r="O350" i="18"/>
  <c r="P397" i="18"/>
  <c r="M395" i="18"/>
  <c r="P395" i="18" s="1"/>
  <c r="M405" i="18"/>
  <c r="P405" i="18" s="1"/>
  <c r="P186" i="18"/>
  <c r="L228" i="18"/>
  <c r="P278" i="18"/>
  <c r="O285" i="18"/>
  <c r="L300" i="18"/>
  <c r="M331" i="18"/>
  <c r="P331" i="18" s="1"/>
  <c r="M330" i="18"/>
  <c r="P353" i="18"/>
  <c r="M351" i="18"/>
  <c r="I364" i="18"/>
  <c r="L408" i="18"/>
  <c r="O408" i="18" s="1"/>
  <c r="M419" i="18"/>
  <c r="M444" i="18"/>
  <c r="P444" i="18" s="1"/>
  <c r="P445" i="18"/>
  <c r="O472" i="18"/>
  <c r="I233" i="18"/>
  <c r="K233" i="18" s="1"/>
  <c r="L279" i="18"/>
  <c r="M300" i="18"/>
  <c r="P300" i="18" s="1"/>
  <c r="P336" i="18"/>
  <c r="N347" i="18"/>
  <c r="O390" i="18"/>
  <c r="P394" i="18"/>
  <c r="M392" i="18"/>
  <c r="P392" i="18" s="1"/>
  <c r="M391" i="18"/>
  <c r="L404" i="18"/>
  <c r="O404" i="18" s="1"/>
  <c r="M408" i="18"/>
  <c r="P408" i="18" s="1"/>
  <c r="K435" i="18"/>
  <c r="N444" i="18"/>
  <c r="K576" i="18"/>
  <c r="K594" i="18"/>
  <c r="P350" i="18"/>
  <c r="M348" i="18"/>
  <c r="P348" i="18" s="1"/>
  <c r="O403" i="18"/>
  <c r="N419" i="18"/>
  <c r="N414" i="18" s="1"/>
  <c r="O503" i="18"/>
  <c r="M545" i="18"/>
  <c r="I559" i="18"/>
  <c r="I628" i="18"/>
  <c r="K628" i="18" s="1"/>
  <c r="P630" i="18"/>
  <c r="M655" i="18"/>
  <c r="P655" i="18" s="1"/>
  <c r="K669" i="18"/>
  <c r="K673" i="18"/>
  <c r="L687" i="18"/>
  <c r="O690" i="18"/>
  <c r="L421" i="18"/>
  <c r="O431" i="18"/>
  <c r="L446" i="18"/>
  <c r="O456" i="18"/>
  <c r="P468" i="18"/>
  <c r="L470" i="18"/>
  <c r="O470" i="18" s="1"/>
  <c r="P503" i="18"/>
  <c r="L631" i="18"/>
  <c r="O641" i="18"/>
  <c r="O656" i="18"/>
  <c r="K674" i="18"/>
  <c r="L555" i="18"/>
  <c r="O555" i="18" s="1"/>
  <c r="L658" i="18"/>
  <c r="O658" i="18" s="1"/>
  <c r="K593" i="18"/>
  <c r="I112" i="17"/>
  <c r="K112" i="17" s="1"/>
  <c r="K115" i="17"/>
  <c r="L331" i="17"/>
  <c r="L330" i="17"/>
  <c r="L328" i="17" s="1"/>
  <c r="L632" i="6"/>
  <c r="O632" i="6" s="1"/>
  <c r="P58" i="17"/>
  <c r="M56" i="17"/>
  <c r="P56" i="17" s="1"/>
  <c r="I197" i="17"/>
  <c r="K197" i="17" s="1"/>
  <c r="K204" i="17"/>
  <c r="L391" i="17"/>
  <c r="O391" i="17" s="1"/>
  <c r="I148" i="15"/>
  <c r="K148" i="15" s="1"/>
  <c r="O127" i="17"/>
  <c r="L125" i="17"/>
  <c r="O125" i="17" s="1"/>
  <c r="P189" i="17"/>
  <c r="M187" i="17"/>
  <c r="P187" i="17" s="1"/>
  <c r="L304" i="17"/>
  <c r="O304" i="17" s="1"/>
  <c r="O306" i="17"/>
  <c r="L395" i="17"/>
  <c r="O395" i="17" s="1"/>
  <c r="N55" i="17"/>
  <c r="N53" i="17" s="1"/>
  <c r="O124" i="17"/>
  <c r="L122" i="17"/>
  <c r="O122" i="17" s="1"/>
  <c r="O184" i="17"/>
  <c r="L231" i="17"/>
  <c r="K271" i="17"/>
  <c r="I260" i="17"/>
  <c r="K260" i="17" s="1"/>
  <c r="M279" i="17"/>
  <c r="M277" i="17" s="1"/>
  <c r="K435" i="17"/>
  <c r="J433" i="17"/>
  <c r="J417" i="17" s="1"/>
  <c r="I433" i="17"/>
  <c r="I417" i="17" s="1"/>
  <c r="L632" i="8"/>
  <c r="O632" i="8" s="1"/>
  <c r="L217" i="17"/>
  <c r="O217" i="17" s="1"/>
  <c r="N347" i="17"/>
  <c r="N345" i="17" s="1"/>
  <c r="N351" i="17"/>
  <c r="L469" i="17"/>
  <c r="L467" i="17" s="1"/>
  <c r="O467" i="17" s="1"/>
  <c r="K362" i="16"/>
  <c r="K385" i="16"/>
  <c r="L167" i="17"/>
  <c r="L165" i="17" s="1"/>
  <c r="O323" i="17"/>
  <c r="L321" i="17"/>
  <c r="O321" i="17" s="1"/>
  <c r="L334" i="17"/>
  <c r="O334" i="17" s="1"/>
  <c r="O336" i="17"/>
  <c r="N404" i="17"/>
  <c r="N402" i="17" s="1"/>
  <c r="K720" i="17"/>
  <c r="O333" i="17"/>
  <c r="J327" i="17"/>
  <c r="K327" i="17" s="1"/>
  <c r="L33" i="17"/>
  <c r="O472" i="17"/>
  <c r="J722" i="17"/>
  <c r="K722" i="17" s="1"/>
  <c r="M347" i="14"/>
  <c r="M345" i="14" s="1"/>
  <c r="N90" i="15"/>
  <c r="N88" i="15" s="1"/>
  <c r="M151" i="16"/>
  <c r="M149" i="16" s="1"/>
  <c r="I522" i="16"/>
  <c r="K522" i="16" s="1"/>
  <c r="L26" i="17"/>
  <c r="L24" i="17" s="1"/>
  <c r="N263" i="17"/>
  <c r="N261" i="17" s="1"/>
  <c r="L317" i="17"/>
  <c r="O317" i="17" s="1"/>
  <c r="K725" i="16"/>
  <c r="O93" i="17"/>
  <c r="M125" i="17"/>
  <c r="P125" i="17" s="1"/>
  <c r="I130" i="17"/>
  <c r="K130" i="17" s="1"/>
  <c r="K338" i="17"/>
  <c r="K381" i="17"/>
  <c r="K699" i="17"/>
  <c r="K822" i="17"/>
  <c r="K237" i="17"/>
  <c r="I226" i="17"/>
  <c r="K226" i="17" s="1"/>
  <c r="K216" i="17"/>
  <c r="J721" i="17"/>
  <c r="K721" i="17" s="1"/>
  <c r="M279" i="15"/>
  <c r="P279" i="15" s="1"/>
  <c r="N68" i="16"/>
  <c r="N66" i="16" s="1"/>
  <c r="L300" i="16"/>
  <c r="L298" i="16" s="1"/>
  <c r="I314" i="16"/>
  <c r="K314" i="16" s="1"/>
  <c r="L36" i="17"/>
  <c r="O36" i="17" s="1"/>
  <c r="L55" i="17"/>
  <c r="N91" i="17"/>
  <c r="O91" i="17" s="1"/>
  <c r="P93" i="17"/>
  <c r="M122" i="17"/>
  <c r="P122" i="17" s="1"/>
  <c r="L152" i="17"/>
  <c r="O152" i="17" s="1"/>
  <c r="L198" i="17"/>
  <c r="O198" i="17" s="1"/>
  <c r="K244" i="17"/>
  <c r="M264" i="17"/>
  <c r="P264" i="17" s="1"/>
  <c r="O282" i="17"/>
  <c r="L347" i="17"/>
  <c r="L345" i="17" s="1"/>
  <c r="K593" i="17"/>
  <c r="L687" i="17"/>
  <c r="O687" i="17" s="1"/>
  <c r="N404" i="15"/>
  <c r="N402" i="15" s="1"/>
  <c r="N263" i="16"/>
  <c r="N261" i="16" s="1"/>
  <c r="P303" i="16"/>
  <c r="K369" i="16"/>
  <c r="L23" i="17"/>
  <c r="L20" i="17" s="1"/>
  <c r="M43" i="17"/>
  <c r="M41" i="17" s="1"/>
  <c r="L56" i="17"/>
  <c r="O56" i="17" s="1"/>
  <c r="M26" i="17"/>
  <c r="M24" i="17" s="1"/>
  <c r="L94" i="17"/>
  <c r="O94" i="17" s="1"/>
  <c r="N122" i="17"/>
  <c r="P124" i="17"/>
  <c r="J143" i="17"/>
  <c r="J131" i="17" s="1"/>
  <c r="M152" i="17"/>
  <c r="P152" i="17" s="1"/>
  <c r="N168" i="17"/>
  <c r="O168" i="17" s="1"/>
  <c r="P170" i="17"/>
  <c r="K224" i="17"/>
  <c r="K255" i="17"/>
  <c r="N264" i="17"/>
  <c r="O264" i="17" s="1"/>
  <c r="O350" i="17"/>
  <c r="K385" i="17"/>
  <c r="L392" i="17"/>
  <c r="O392" i="17" s="1"/>
  <c r="N405" i="17"/>
  <c r="L408" i="17"/>
  <c r="O408" i="17" s="1"/>
  <c r="I434" i="17"/>
  <c r="K434" i="17" s="1"/>
  <c r="I442" i="17"/>
  <c r="K442" i="17" s="1"/>
  <c r="O449" i="17"/>
  <c r="O634" i="17"/>
  <c r="O690" i="17"/>
  <c r="M408" i="14"/>
  <c r="P408" i="14" s="1"/>
  <c r="L135" i="15"/>
  <c r="O135" i="15" s="1"/>
  <c r="M55" i="16"/>
  <c r="M53" i="16" s="1"/>
  <c r="M405" i="16"/>
  <c r="P405" i="16" s="1"/>
  <c r="J721" i="16"/>
  <c r="K721" i="16" s="1"/>
  <c r="M23" i="17"/>
  <c r="M21" i="17" s="1"/>
  <c r="O61" i="17"/>
  <c r="P71" i="17"/>
  <c r="L171" i="17"/>
  <c r="O171" i="17" s="1"/>
  <c r="L183" i="17"/>
  <c r="L181" i="17" s="1"/>
  <c r="I233" i="17"/>
  <c r="K233" i="17" s="1"/>
  <c r="O285" i="17"/>
  <c r="L351" i="17"/>
  <c r="K378" i="17"/>
  <c r="L547" i="17"/>
  <c r="O547" i="17" s="1"/>
  <c r="O549" i="17"/>
  <c r="I559" i="17"/>
  <c r="I543" i="17" s="1"/>
  <c r="K543" i="17" s="1"/>
  <c r="K672" i="17"/>
  <c r="K669" i="17"/>
  <c r="O58" i="17"/>
  <c r="P154" i="17"/>
  <c r="I174" i="17"/>
  <c r="I164" i="17" s="1"/>
  <c r="K164" i="17" s="1"/>
  <c r="P285" i="17"/>
  <c r="L404" i="17"/>
  <c r="O404" i="17" s="1"/>
  <c r="I443" i="17"/>
  <c r="K443" i="17" s="1"/>
  <c r="J537" i="17"/>
  <c r="J522" i="17" s="1"/>
  <c r="K822" i="16"/>
  <c r="K825" i="16"/>
  <c r="M135" i="17"/>
  <c r="P135" i="17" s="1"/>
  <c r="L151" i="17"/>
  <c r="K159" i="17"/>
  <c r="L209" i="17"/>
  <c r="O209" i="17" s="1"/>
  <c r="L238" i="17"/>
  <c r="O238" i="17" s="1"/>
  <c r="O266" i="17"/>
  <c r="L279" i="17"/>
  <c r="L277" i="17" s="1"/>
  <c r="N331" i="17"/>
  <c r="K360" i="17"/>
  <c r="K537" i="17"/>
  <c r="K723" i="17"/>
  <c r="K825" i="17"/>
  <c r="K828" i="17"/>
  <c r="K700" i="14"/>
  <c r="L47" i="15"/>
  <c r="O47" i="15" s="1"/>
  <c r="L217" i="15"/>
  <c r="O217" i="15" s="1"/>
  <c r="L171" i="16"/>
  <c r="O171" i="16" s="1"/>
  <c r="N167" i="16"/>
  <c r="L231" i="16"/>
  <c r="P331" i="16"/>
  <c r="I443" i="16"/>
  <c r="K443" i="16" s="1"/>
  <c r="I559" i="16"/>
  <c r="I543" i="16" s="1"/>
  <c r="K543" i="16" s="1"/>
  <c r="O32" i="17"/>
  <c r="L29" i="17"/>
  <c r="N55" i="16"/>
  <c r="N53" i="16" s="1"/>
  <c r="N121" i="16"/>
  <c r="N119" i="16" s="1"/>
  <c r="N151" i="16"/>
  <c r="N149" i="16" s="1"/>
  <c r="M183" i="16"/>
  <c r="M181" i="16" s="1"/>
  <c r="N330" i="16"/>
  <c r="N328" i="16" s="1"/>
  <c r="L533" i="16"/>
  <c r="O533" i="16" s="1"/>
  <c r="K99" i="16"/>
  <c r="M125" i="16"/>
  <c r="P125" i="16" s="1"/>
  <c r="M152" i="16"/>
  <c r="L318" i="16"/>
  <c r="O318" i="16" s="1"/>
  <c r="P29" i="17"/>
  <c r="P67" i="17"/>
  <c r="L91" i="16"/>
  <c r="O91" i="16" s="1"/>
  <c r="L94" i="16"/>
  <c r="O94" i="16" s="1"/>
  <c r="L187" i="16"/>
  <c r="O187" i="16" s="1"/>
  <c r="N15" i="17"/>
  <c r="P46" i="17"/>
  <c r="N23" i="17"/>
  <c r="N21" i="17" s="1"/>
  <c r="O46" i="17"/>
  <c r="N43" i="17"/>
  <c r="N41" i="17" s="1"/>
  <c r="N44" i="17"/>
  <c r="O54" i="17"/>
  <c r="L55" i="15"/>
  <c r="L53" i="15" s="1"/>
  <c r="L347" i="15"/>
  <c r="L345" i="15" s="1"/>
  <c r="M321" i="16"/>
  <c r="P321" i="16" s="1"/>
  <c r="O331" i="16"/>
  <c r="K360" i="16"/>
  <c r="K378" i="16"/>
  <c r="M392" i="16"/>
  <c r="P392" i="16" s="1"/>
  <c r="L36" i="16"/>
  <c r="O36" i="16" s="1"/>
  <c r="L525" i="16"/>
  <c r="O525" i="16" s="1"/>
  <c r="N19" i="17"/>
  <c r="N30" i="17"/>
  <c r="N28" i="17" s="1"/>
  <c r="P301" i="17"/>
  <c r="M12" i="17"/>
  <c r="M19" i="17"/>
  <c r="N26" i="17"/>
  <c r="P33" i="17"/>
  <c r="M30" i="17"/>
  <c r="P30" i="17" s="1"/>
  <c r="L43" i="17"/>
  <c r="L41" i="17" s="1"/>
  <c r="O71" i="17"/>
  <c r="P74" i="17"/>
  <c r="N90" i="17"/>
  <c r="P96" i="17"/>
  <c r="K99" i="17"/>
  <c r="K111" i="17"/>
  <c r="M138" i="17"/>
  <c r="P138" i="17" s="1"/>
  <c r="N167" i="17"/>
  <c r="P173" i="17"/>
  <c r="I275" i="17"/>
  <c r="K275" i="17" s="1"/>
  <c r="N280" i="17"/>
  <c r="K288" i="17"/>
  <c r="I297" i="17"/>
  <c r="K297" i="17" s="1"/>
  <c r="N300" i="17"/>
  <c r="N298" i="17" s="1"/>
  <c r="M304" i="17"/>
  <c r="P304" i="17" s="1"/>
  <c r="O316" i="17"/>
  <c r="K379" i="17"/>
  <c r="L454" i="17"/>
  <c r="O454" i="17" s="1"/>
  <c r="O456" i="17"/>
  <c r="L446" i="17"/>
  <c r="P545" i="17"/>
  <c r="M544" i="17"/>
  <c r="P544" i="17" s="1"/>
  <c r="L301" i="17"/>
  <c r="O301" i="17" s="1"/>
  <c r="P407" i="17"/>
  <c r="M404" i="17"/>
  <c r="I86" i="17"/>
  <c r="K86" i="17" s="1"/>
  <c r="L134" i="17"/>
  <c r="O134" i="17" s="1"/>
  <c r="K144" i="17"/>
  <c r="I208" i="17"/>
  <c r="K208" i="17" s="1"/>
  <c r="P333" i="17"/>
  <c r="M331" i="17"/>
  <c r="K365" i="17"/>
  <c r="I364" i="17"/>
  <c r="P397" i="17"/>
  <c r="M395" i="17"/>
  <c r="P395" i="17" s="1"/>
  <c r="N419" i="17"/>
  <c r="N31" i="17"/>
  <c r="M69" i="17"/>
  <c r="P69" i="17" s="1"/>
  <c r="I77" i="17"/>
  <c r="M134" i="17"/>
  <c r="K145" i="17"/>
  <c r="I143" i="17"/>
  <c r="N183" i="17"/>
  <c r="O186" i="17"/>
  <c r="N279" i="17"/>
  <c r="P303" i="17"/>
  <c r="N348" i="17"/>
  <c r="O348" i="17" s="1"/>
  <c r="P350" i="17"/>
  <c r="M348" i="17"/>
  <c r="J364" i="17"/>
  <c r="K370" i="17"/>
  <c r="O424" i="17"/>
  <c r="M31" i="17"/>
  <c r="P31" i="17" s="1"/>
  <c r="L68" i="17"/>
  <c r="I76" i="17"/>
  <c r="L121" i="17"/>
  <c r="O121" i="17" s="1"/>
  <c r="O137" i="17"/>
  <c r="O150" i="17"/>
  <c r="P186" i="17"/>
  <c r="L263" i="17"/>
  <c r="L300" i="17"/>
  <c r="P394" i="17"/>
  <c r="M392" i="17"/>
  <c r="P392" i="17" s="1"/>
  <c r="M391" i="17"/>
  <c r="P419" i="17"/>
  <c r="L12" i="17"/>
  <c r="L19" i="17"/>
  <c r="O74" i="17"/>
  <c r="K80" i="17"/>
  <c r="M90" i="17"/>
  <c r="M167" i="17"/>
  <c r="M263" i="17"/>
  <c r="P263" i="17" s="1"/>
  <c r="M300" i="17"/>
  <c r="K325" i="17"/>
  <c r="M330" i="17"/>
  <c r="P336" i="17"/>
  <c r="M334" i="17"/>
  <c r="P334" i="17" s="1"/>
  <c r="K340" i="17"/>
  <c r="N391" i="17"/>
  <c r="N389" i="17" s="1"/>
  <c r="N330" i="17"/>
  <c r="K359" i="17"/>
  <c r="K374" i="17"/>
  <c r="O403" i="17"/>
  <c r="N444" i="17"/>
  <c r="K647" i="17"/>
  <c r="K701" i="17"/>
  <c r="P756" i="17"/>
  <c r="M754" i="17"/>
  <c r="P754" i="17" s="1"/>
  <c r="O755" i="17"/>
  <c r="L754" i="17"/>
  <c r="O754" i="17" s="1"/>
  <c r="L789" i="17"/>
  <c r="O789" i="17" s="1"/>
  <c r="O791" i="17"/>
  <c r="O807" i="17"/>
  <c r="L805" i="17"/>
  <c r="O805" i="17" s="1"/>
  <c r="L639" i="17"/>
  <c r="O639" i="17" s="1"/>
  <c r="O641" i="17"/>
  <c r="L631" i="17"/>
  <c r="L629" i="17" s="1"/>
  <c r="P772" i="17"/>
  <c r="M770" i="17"/>
  <c r="P770" i="17" s="1"/>
  <c r="N754" i="17"/>
  <c r="O771" i="17"/>
  <c r="L770" i="17"/>
  <c r="O770" i="17" s="1"/>
  <c r="N807" i="17"/>
  <c r="N805" i="17" s="1"/>
  <c r="N808" i="17"/>
  <c r="N629" i="17"/>
  <c r="P739" i="17"/>
  <c r="M737" i="17"/>
  <c r="P737" i="17" s="1"/>
  <c r="P353" i="17"/>
  <c r="M351" i="17"/>
  <c r="L429" i="17"/>
  <c r="O429" i="17" s="1"/>
  <c r="O431" i="17"/>
  <c r="L421" i="17"/>
  <c r="L526" i="17"/>
  <c r="O526" i="17" s="1"/>
  <c r="O528" i="17"/>
  <c r="O738" i="17"/>
  <c r="L737" i="17"/>
  <c r="O737" i="17" s="1"/>
  <c r="N770" i="17"/>
  <c r="L788" i="17"/>
  <c r="P468" i="17"/>
  <c r="P503" i="17"/>
  <c r="O656" i="17"/>
  <c r="K674" i="17"/>
  <c r="N631" i="17"/>
  <c r="K675" i="17"/>
  <c r="M685" i="17"/>
  <c r="P685" i="17" s="1"/>
  <c r="M786" i="17"/>
  <c r="P786" i="17" s="1"/>
  <c r="N469" i="17"/>
  <c r="N467" i="17" s="1"/>
  <c r="M330" i="16"/>
  <c r="M328" i="16" s="1"/>
  <c r="N279" i="15"/>
  <c r="N277" i="15" s="1"/>
  <c r="P96" i="16"/>
  <c r="N125" i="16"/>
  <c r="M187" i="16"/>
  <c r="P187" i="16" s="1"/>
  <c r="K224" i="16"/>
  <c r="L228" i="16"/>
  <c r="L230" i="16"/>
  <c r="J288" i="16"/>
  <c r="J275" i="16" s="1"/>
  <c r="K275" i="16" s="1"/>
  <c r="K359" i="16"/>
  <c r="M391" i="16"/>
  <c r="P391" i="16" s="1"/>
  <c r="L33" i="16"/>
  <c r="L31" i="16" s="1"/>
  <c r="M122" i="15"/>
  <c r="P122" i="15" s="1"/>
  <c r="M318" i="15"/>
  <c r="P318" i="15" s="1"/>
  <c r="L404" i="15"/>
  <c r="O404" i="15" s="1"/>
  <c r="O56" i="16"/>
  <c r="P189" i="16"/>
  <c r="L217" i="16"/>
  <c r="O217" i="16" s="1"/>
  <c r="L229" i="16"/>
  <c r="M334" i="16"/>
  <c r="P334" i="16" s="1"/>
  <c r="P336" i="16"/>
  <c r="M347" i="16"/>
  <c r="M345" i="16" s="1"/>
  <c r="K355" i="16"/>
  <c r="K381" i="16"/>
  <c r="K700" i="16"/>
  <c r="L405" i="15"/>
  <c r="O405" i="15" s="1"/>
  <c r="K379" i="15"/>
  <c r="M43" i="16"/>
  <c r="M41" i="16" s="1"/>
  <c r="N152" i="16"/>
  <c r="O152" i="16" s="1"/>
  <c r="M155" i="16"/>
  <c r="P155" i="16" s="1"/>
  <c r="M167" i="16"/>
  <c r="L209" i="16"/>
  <c r="O209" i="16" s="1"/>
  <c r="O280" i="16"/>
  <c r="N279" i="16"/>
  <c r="N277" i="16" s="1"/>
  <c r="I364" i="16"/>
  <c r="K379" i="16"/>
  <c r="I434" i="16"/>
  <c r="J722" i="16"/>
  <c r="K722" i="16" s="1"/>
  <c r="L304" i="15"/>
  <c r="O304" i="15" s="1"/>
  <c r="N43" i="16"/>
  <c r="P43" i="16" s="1"/>
  <c r="M68" i="16"/>
  <c r="P74" i="16"/>
  <c r="I76" i="16"/>
  <c r="I64" i="16" s="1"/>
  <c r="K64" i="16" s="1"/>
  <c r="M90" i="16"/>
  <c r="M88" i="16" s="1"/>
  <c r="L198" i="16"/>
  <c r="O198" i="16" s="1"/>
  <c r="M317" i="16"/>
  <c r="P317" i="16" s="1"/>
  <c r="K340" i="16"/>
  <c r="K823" i="16"/>
  <c r="K826" i="16"/>
  <c r="J364" i="16"/>
  <c r="M55" i="15"/>
  <c r="M53" i="15" s="1"/>
  <c r="I112" i="15"/>
  <c r="K112" i="15" s="1"/>
  <c r="L687" i="15"/>
  <c r="O687" i="15" s="1"/>
  <c r="O59" i="16"/>
  <c r="O93" i="16"/>
  <c r="L122" i="16"/>
  <c r="O122" i="16" s="1"/>
  <c r="P154" i="16"/>
  <c r="K176" i="16"/>
  <c r="K216" i="16"/>
  <c r="K271" i="16"/>
  <c r="M301" i="16"/>
  <c r="P301" i="16" s="1"/>
  <c r="K374" i="16"/>
  <c r="L395" i="16"/>
  <c r="O395" i="16" s="1"/>
  <c r="N404" i="16"/>
  <c r="N402" i="16" s="1"/>
  <c r="K701" i="16"/>
  <c r="L230" i="15"/>
  <c r="M280" i="15"/>
  <c r="P280" i="15" s="1"/>
  <c r="O282" i="15"/>
  <c r="M405" i="15"/>
  <c r="P405" i="15" s="1"/>
  <c r="L408" i="15"/>
  <c r="O408" i="15" s="1"/>
  <c r="K823" i="15"/>
  <c r="M56" i="16"/>
  <c r="P56" i="16" s="1"/>
  <c r="P61" i="16"/>
  <c r="I86" i="16"/>
  <c r="K86" i="16" s="1"/>
  <c r="P93" i="16"/>
  <c r="M122" i="16"/>
  <c r="P122" i="16" s="1"/>
  <c r="K144" i="16"/>
  <c r="L155" i="16"/>
  <c r="O155" i="16" s="1"/>
  <c r="M263" i="16"/>
  <c r="M261" i="16" s="1"/>
  <c r="P261" i="16" s="1"/>
  <c r="I276" i="16"/>
  <c r="K276" i="16" s="1"/>
  <c r="L279" i="16"/>
  <c r="L277" i="16" s="1"/>
  <c r="O282" i="16"/>
  <c r="N300" i="16"/>
  <c r="N298" i="16" s="1"/>
  <c r="N317" i="16"/>
  <c r="N315" i="16" s="1"/>
  <c r="J327" i="16"/>
  <c r="K327" i="16" s="1"/>
  <c r="L351" i="16"/>
  <c r="M395" i="16"/>
  <c r="P395" i="16" s="1"/>
  <c r="K647" i="16"/>
  <c r="O690" i="16"/>
  <c r="K699" i="16"/>
  <c r="K800" i="16"/>
  <c r="K821" i="16"/>
  <c r="K824" i="16"/>
  <c r="K827" i="16"/>
  <c r="L171" i="15"/>
  <c r="O171" i="15" s="1"/>
  <c r="N183" i="15"/>
  <c r="N181" i="15" s="1"/>
  <c r="L231" i="15"/>
  <c r="P59" i="16"/>
  <c r="O71" i="16"/>
  <c r="L121" i="16"/>
  <c r="L119" i="16" s="1"/>
  <c r="O119" i="16" s="1"/>
  <c r="L168" i="16"/>
  <c r="O168" i="16" s="1"/>
  <c r="O170" i="16"/>
  <c r="P173" i="16"/>
  <c r="P320" i="16"/>
  <c r="L391" i="16"/>
  <c r="L389" i="16" s="1"/>
  <c r="O389" i="16" s="1"/>
  <c r="P397" i="16"/>
  <c r="O424" i="16"/>
  <c r="J537" i="16"/>
  <c r="J522" i="16" s="1"/>
  <c r="K720" i="16"/>
  <c r="K723" i="16"/>
  <c r="O46" i="15"/>
  <c r="M151" i="15"/>
  <c r="P151" i="15" s="1"/>
  <c r="M155" i="15"/>
  <c r="P155" i="15" s="1"/>
  <c r="O157" i="15"/>
  <c r="L321" i="15"/>
  <c r="O321" i="15" s="1"/>
  <c r="N26" i="16"/>
  <c r="N16" i="16" s="1"/>
  <c r="N14" i="16" s="1"/>
  <c r="O46" i="16"/>
  <c r="O49" i="16"/>
  <c r="P71" i="16"/>
  <c r="O74" i="16"/>
  <c r="N90" i="16"/>
  <c r="M121" i="16"/>
  <c r="N135" i="16"/>
  <c r="O140" i="16"/>
  <c r="O154" i="16"/>
  <c r="P170" i="16"/>
  <c r="L183" i="16"/>
  <c r="L181" i="16" s="1"/>
  <c r="K204" i="16"/>
  <c r="M264" i="16"/>
  <c r="P264" i="16" s="1"/>
  <c r="K309" i="16"/>
  <c r="L317" i="16"/>
  <c r="O317" i="16" s="1"/>
  <c r="P333" i="16"/>
  <c r="K365" i="16"/>
  <c r="K372" i="16"/>
  <c r="O407" i="16"/>
  <c r="L422" i="7"/>
  <c r="O422" i="7" s="1"/>
  <c r="M121" i="15"/>
  <c r="M119" i="15" s="1"/>
  <c r="P119" i="15" s="1"/>
  <c r="N121" i="15"/>
  <c r="N119" i="15" s="1"/>
  <c r="K360" i="15"/>
  <c r="P49" i="16"/>
  <c r="L55" i="16"/>
  <c r="L68" i="16"/>
  <c r="I77" i="16"/>
  <c r="I65" i="16" s="1"/>
  <c r="K65" i="16" s="1"/>
  <c r="I112" i="16"/>
  <c r="K112" i="16" s="1"/>
  <c r="I143" i="16"/>
  <c r="K174" i="16"/>
  <c r="M267" i="16"/>
  <c r="P267" i="16" s="1"/>
  <c r="L283" i="16"/>
  <c r="O283" i="16" s="1"/>
  <c r="L334" i="16"/>
  <c r="O334" i="16" s="1"/>
  <c r="L347" i="16"/>
  <c r="L345" i="16" s="1"/>
  <c r="K370" i="16"/>
  <c r="I442" i="16"/>
  <c r="K442" i="16" s="1"/>
  <c r="L477" i="16"/>
  <c r="O477" i="16" s="1"/>
  <c r="K594" i="16"/>
  <c r="K649" i="16"/>
  <c r="K828" i="16"/>
  <c r="J592" i="16"/>
  <c r="K592" i="16" s="1"/>
  <c r="K593" i="16"/>
  <c r="O44" i="16"/>
  <c r="P44" i="16"/>
  <c r="P168" i="16"/>
  <c r="N28" i="16"/>
  <c r="N9" i="16"/>
  <c r="P91" i="16"/>
  <c r="N347" i="15"/>
  <c r="K255" i="16"/>
  <c r="I248" i="16"/>
  <c r="K248" i="16" s="1"/>
  <c r="M280" i="16"/>
  <c r="P280" i="16" s="1"/>
  <c r="P282" i="16"/>
  <c r="O299" i="16"/>
  <c r="M304" i="16"/>
  <c r="P304" i="16" s="1"/>
  <c r="P306" i="16"/>
  <c r="O316" i="16"/>
  <c r="N348" i="16"/>
  <c r="P350" i="16"/>
  <c r="P420" i="16"/>
  <c r="M419" i="16"/>
  <c r="M183" i="12"/>
  <c r="M181" i="12" s="1"/>
  <c r="I628" i="14"/>
  <c r="K628" i="14" s="1"/>
  <c r="O301" i="15"/>
  <c r="M321" i="15"/>
  <c r="P321" i="15" s="1"/>
  <c r="L392" i="15"/>
  <c r="O392" i="15" s="1"/>
  <c r="L23" i="16"/>
  <c r="M31" i="16"/>
  <c r="P31" i="16" s="1"/>
  <c r="P46" i="16"/>
  <c r="K80" i="16"/>
  <c r="K83" i="16"/>
  <c r="L134" i="16"/>
  <c r="O186" i="16"/>
  <c r="N184" i="16"/>
  <c r="P184" i="16" s="1"/>
  <c r="L264" i="16"/>
  <c r="O264" i="16" s="1"/>
  <c r="O266" i="16"/>
  <c r="P278" i="16"/>
  <c r="O350" i="16"/>
  <c r="L546" i="16"/>
  <c r="O549" i="16"/>
  <c r="K628" i="16"/>
  <c r="L533" i="5"/>
  <c r="O533" i="5" s="1"/>
  <c r="L69" i="15"/>
  <c r="O69" i="15" s="1"/>
  <c r="L72" i="15"/>
  <c r="O72" i="15" s="1"/>
  <c r="M138" i="15"/>
  <c r="P138" i="15" s="1"/>
  <c r="O189" i="15"/>
  <c r="K224" i="15"/>
  <c r="I260" i="15"/>
  <c r="K260" i="15" s="1"/>
  <c r="K287" i="15"/>
  <c r="L525" i="15"/>
  <c r="L523" i="15" s="1"/>
  <c r="O523" i="15" s="1"/>
  <c r="K593" i="15"/>
  <c r="L36" i="15"/>
  <c r="O36" i="15" s="1"/>
  <c r="L9" i="16"/>
  <c r="L15" i="16"/>
  <c r="M23" i="16"/>
  <c r="L29" i="16"/>
  <c r="M30" i="16"/>
  <c r="P30" i="16" s="1"/>
  <c r="N31" i="16"/>
  <c r="I130" i="16"/>
  <c r="K130" i="16" s="1"/>
  <c r="M134" i="16"/>
  <c r="P134" i="16" s="1"/>
  <c r="O137" i="16"/>
  <c r="L151" i="16"/>
  <c r="P186" i="16"/>
  <c r="I190" i="16"/>
  <c r="K190" i="16" s="1"/>
  <c r="O262" i="16"/>
  <c r="L267" i="16"/>
  <c r="O267" i="16" s="1"/>
  <c r="O269" i="16"/>
  <c r="M283" i="16"/>
  <c r="P283" i="16" s="1"/>
  <c r="P285" i="16"/>
  <c r="O333" i="16"/>
  <c r="L330" i="16"/>
  <c r="O403" i="16"/>
  <c r="J433" i="16"/>
  <c r="J417" i="16" s="1"/>
  <c r="I433" i="16"/>
  <c r="L547" i="16"/>
  <c r="O547" i="16" s="1"/>
  <c r="N55" i="14"/>
  <c r="N53" i="14" s="1"/>
  <c r="M267" i="14"/>
  <c r="P267" i="14" s="1"/>
  <c r="L43" i="15"/>
  <c r="L41" i="15" s="1"/>
  <c r="I190" i="15"/>
  <c r="K190" i="15" s="1"/>
  <c r="L317" i="15"/>
  <c r="O317" i="15" s="1"/>
  <c r="I434" i="15"/>
  <c r="K434" i="15" s="1"/>
  <c r="K669" i="15"/>
  <c r="M9" i="16"/>
  <c r="M15" i="16"/>
  <c r="N23" i="16"/>
  <c r="M29" i="16"/>
  <c r="O58" i="16"/>
  <c r="O61" i="16"/>
  <c r="M138" i="16"/>
  <c r="P138" i="16" s="1"/>
  <c r="L238" i="16"/>
  <c r="L249" i="16"/>
  <c r="O249" i="16" s="1"/>
  <c r="N347" i="16"/>
  <c r="L392" i="16"/>
  <c r="O392" i="16" s="1"/>
  <c r="L408" i="16"/>
  <c r="O408" i="16" s="1"/>
  <c r="L404" i="16"/>
  <c r="O404" i="16" s="1"/>
  <c r="O410" i="16"/>
  <c r="L454" i="16"/>
  <c r="O454" i="16" s="1"/>
  <c r="O456" i="16"/>
  <c r="L446" i="16"/>
  <c r="L94" i="14"/>
  <c r="O94" i="14" s="1"/>
  <c r="L44" i="15"/>
  <c r="O170" i="15"/>
  <c r="O264" i="15"/>
  <c r="O353" i="15"/>
  <c r="K362" i="15"/>
  <c r="L547" i="15"/>
  <c r="O547" i="15" s="1"/>
  <c r="L26" i="16"/>
  <c r="N183" i="16"/>
  <c r="M279" i="16"/>
  <c r="L301" i="16"/>
  <c r="O301" i="16" s="1"/>
  <c r="O303" i="16"/>
  <c r="M404" i="16"/>
  <c r="P410" i="16"/>
  <c r="L429" i="16"/>
  <c r="O429" i="16" s="1"/>
  <c r="O431" i="16"/>
  <c r="L421" i="16"/>
  <c r="M544" i="16"/>
  <c r="P544" i="16" s="1"/>
  <c r="P545" i="16"/>
  <c r="M655" i="16"/>
  <c r="P655" i="16" s="1"/>
  <c r="O660" i="16"/>
  <c r="L658" i="16"/>
  <c r="O658" i="16" s="1"/>
  <c r="L657" i="16"/>
  <c r="O657" i="16" s="1"/>
  <c r="K672" i="16"/>
  <c r="I654" i="16"/>
  <c r="K654" i="16" s="1"/>
  <c r="K674" i="16"/>
  <c r="K675" i="16"/>
  <c r="K669" i="16"/>
  <c r="O44" i="14"/>
  <c r="O348" i="14"/>
  <c r="K99" i="15"/>
  <c r="O186" i="15"/>
  <c r="N317" i="15"/>
  <c r="N315" i="15" s="1"/>
  <c r="M26" i="16"/>
  <c r="M24" i="16" s="1"/>
  <c r="M135" i="16"/>
  <c r="P135" i="16" s="1"/>
  <c r="M300" i="16"/>
  <c r="P346" i="16"/>
  <c r="P445" i="16"/>
  <c r="M444" i="16"/>
  <c r="P444" i="16" s="1"/>
  <c r="N544" i="16"/>
  <c r="N414" i="16" s="1"/>
  <c r="K651" i="16"/>
  <c r="I233" i="16"/>
  <c r="K233" i="16" s="1"/>
  <c r="O306" i="16"/>
  <c r="M629" i="16"/>
  <c r="P629" i="16" s="1"/>
  <c r="O656" i="16"/>
  <c r="N391" i="16"/>
  <c r="N389" i="16" s="1"/>
  <c r="M502" i="16"/>
  <c r="P502" i="16" s="1"/>
  <c r="P503" i="16"/>
  <c r="L687" i="16"/>
  <c r="O687" i="16" s="1"/>
  <c r="L786" i="16"/>
  <c r="O786" i="16" s="1"/>
  <c r="N807" i="16"/>
  <c r="N805" i="16" s="1"/>
  <c r="N808" i="16"/>
  <c r="M467" i="16"/>
  <c r="P467" i="16" s="1"/>
  <c r="P468" i="16"/>
  <c r="L526" i="16"/>
  <c r="O526" i="16" s="1"/>
  <c r="O528" i="16"/>
  <c r="I237" i="16"/>
  <c r="K338" i="16"/>
  <c r="P353" i="16"/>
  <c r="N351" i="16"/>
  <c r="O557" i="16"/>
  <c r="L639" i="16"/>
  <c r="O639" i="16" s="1"/>
  <c r="O641" i="16"/>
  <c r="L631" i="16"/>
  <c r="L789" i="16"/>
  <c r="O789" i="16" s="1"/>
  <c r="O791" i="16"/>
  <c r="L469" i="16"/>
  <c r="N121" i="14"/>
  <c r="N119" i="14" s="1"/>
  <c r="L229" i="14"/>
  <c r="I248" i="14"/>
  <c r="K248" i="14" s="1"/>
  <c r="M391" i="14"/>
  <c r="P391" i="14" s="1"/>
  <c r="M47" i="15"/>
  <c r="P47" i="15" s="1"/>
  <c r="N55" i="15"/>
  <c r="M72" i="15"/>
  <c r="P72" i="15" s="1"/>
  <c r="O127" i="15"/>
  <c r="P170" i="15"/>
  <c r="K244" i="15"/>
  <c r="L228" i="15"/>
  <c r="K309" i="15"/>
  <c r="N318" i="15"/>
  <c r="L330" i="15"/>
  <c r="L328" i="15" s="1"/>
  <c r="O333" i="15"/>
  <c r="K338" i="15"/>
  <c r="N351" i="15"/>
  <c r="O351" i="15" s="1"/>
  <c r="N405" i="15"/>
  <c r="J537" i="15"/>
  <c r="J522" i="15" s="1"/>
  <c r="K649" i="15"/>
  <c r="L391" i="14"/>
  <c r="O391" i="14" s="1"/>
  <c r="M90" i="15"/>
  <c r="M88" i="15" s="1"/>
  <c r="K98" i="15"/>
  <c r="L168" i="15"/>
  <c r="O168" i="15" s="1"/>
  <c r="O266" i="15"/>
  <c r="L279" i="15"/>
  <c r="O279" i="15" s="1"/>
  <c r="I785" i="15"/>
  <c r="K785" i="15" s="1"/>
  <c r="N167" i="15"/>
  <c r="N165" i="15" s="1"/>
  <c r="L238" i="15"/>
  <c r="L267" i="15"/>
  <c r="O267" i="15" s="1"/>
  <c r="P301" i="15"/>
  <c r="O350" i="15"/>
  <c r="M408" i="15"/>
  <c r="P408" i="15" s="1"/>
  <c r="K438" i="15"/>
  <c r="I442" i="15"/>
  <c r="K442" i="15" s="1"/>
  <c r="I233" i="14"/>
  <c r="K233" i="14" s="1"/>
  <c r="M43" i="15"/>
  <c r="M41" i="15" s="1"/>
  <c r="O58" i="15"/>
  <c r="N91" i="15"/>
  <c r="P91" i="15" s="1"/>
  <c r="M94" i="15"/>
  <c r="P94" i="15" s="1"/>
  <c r="N134" i="15"/>
  <c r="N132" i="15" s="1"/>
  <c r="N151" i="15"/>
  <c r="N149" i="15" s="1"/>
  <c r="M171" i="15"/>
  <c r="P171" i="15" s="1"/>
  <c r="L198" i="15"/>
  <c r="O198" i="15" s="1"/>
  <c r="M347" i="15"/>
  <c r="M345" i="15" s="1"/>
  <c r="K378" i="15"/>
  <c r="K381" i="15"/>
  <c r="M404" i="15"/>
  <c r="P404" i="15" s="1"/>
  <c r="P58" i="15"/>
  <c r="I314" i="15"/>
  <c r="K314" i="15" s="1"/>
  <c r="M330" i="15"/>
  <c r="M328" i="15" s="1"/>
  <c r="N391" i="15"/>
  <c r="N389" i="15" s="1"/>
  <c r="J721" i="15"/>
  <c r="J364" i="13"/>
  <c r="N56" i="14"/>
  <c r="P56" i="14" s="1"/>
  <c r="K822" i="14"/>
  <c r="K825" i="14"/>
  <c r="K828" i="14"/>
  <c r="M23" i="15"/>
  <c r="M13" i="15" s="1"/>
  <c r="M11" i="15" s="1"/>
  <c r="M26" i="15"/>
  <c r="M24" i="15" s="1"/>
  <c r="N43" i="15"/>
  <c r="L68" i="15"/>
  <c r="M69" i="15"/>
  <c r="P69" i="15" s="1"/>
  <c r="L134" i="15"/>
  <c r="O134" i="15" s="1"/>
  <c r="L138" i="15"/>
  <c r="O138" i="15" s="1"/>
  <c r="O154" i="15"/>
  <c r="M167" i="15"/>
  <c r="N171" i="15"/>
  <c r="I208" i="15"/>
  <c r="K208" i="15" s="1"/>
  <c r="L263" i="15"/>
  <c r="L261" i="15" s="1"/>
  <c r="N280" i="15"/>
  <c r="M300" i="15"/>
  <c r="M298" i="15" s="1"/>
  <c r="L300" i="15"/>
  <c r="L298" i="15" s="1"/>
  <c r="L334" i="15"/>
  <c r="O334" i="15" s="1"/>
  <c r="J327" i="15"/>
  <c r="K327" i="15" s="1"/>
  <c r="K374" i="15"/>
  <c r="L391" i="15"/>
  <c r="L395" i="15"/>
  <c r="O395" i="15" s="1"/>
  <c r="K651" i="15"/>
  <c r="O690" i="15"/>
  <c r="K822" i="15"/>
  <c r="K828" i="15"/>
  <c r="M43" i="14"/>
  <c r="M41" i="14" s="1"/>
  <c r="M47" i="14"/>
  <c r="P47" i="14" s="1"/>
  <c r="M155" i="14"/>
  <c r="P155" i="14" s="1"/>
  <c r="L347" i="14"/>
  <c r="L345" i="14" s="1"/>
  <c r="O394" i="14"/>
  <c r="N26" i="15"/>
  <c r="L33" i="15"/>
  <c r="M68" i="15"/>
  <c r="I76" i="15"/>
  <c r="I64" i="15" s="1"/>
  <c r="K64" i="15" s="1"/>
  <c r="P154" i="15"/>
  <c r="L249" i="15"/>
  <c r="O249" i="15" s="1"/>
  <c r="N263" i="15"/>
  <c r="P269" i="15"/>
  <c r="P282" i="15"/>
  <c r="O320" i="15"/>
  <c r="K537" i="15"/>
  <c r="I559" i="15"/>
  <c r="I543" i="15" s="1"/>
  <c r="K543" i="15" s="1"/>
  <c r="L94" i="15"/>
  <c r="O94" i="15" s="1"/>
  <c r="M304" i="15"/>
  <c r="P304" i="15" s="1"/>
  <c r="L121" i="14"/>
  <c r="L119" i="14" s="1"/>
  <c r="O119" i="14" s="1"/>
  <c r="I148" i="14"/>
  <c r="K148" i="14" s="1"/>
  <c r="K176" i="14"/>
  <c r="K823" i="14"/>
  <c r="K826" i="14"/>
  <c r="N23" i="15"/>
  <c r="N68" i="15"/>
  <c r="N66" i="15" s="1"/>
  <c r="L90" i="15"/>
  <c r="O93" i="15"/>
  <c r="K146" i="15"/>
  <c r="M168" i="15"/>
  <c r="P168" i="15" s="1"/>
  <c r="M183" i="15"/>
  <c r="M181" i="15" s="1"/>
  <c r="I233" i="15"/>
  <c r="K233" i="15" s="1"/>
  <c r="M283" i="15"/>
  <c r="P283" i="15" s="1"/>
  <c r="M317" i="15"/>
  <c r="M315" i="15" s="1"/>
  <c r="P315" i="15" s="1"/>
  <c r="L348" i="15"/>
  <c r="O348" i="15" s="1"/>
  <c r="K372" i="15"/>
  <c r="K822" i="13"/>
  <c r="K825" i="13"/>
  <c r="K828" i="13"/>
  <c r="K723" i="14"/>
  <c r="L26" i="15"/>
  <c r="M56" i="15"/>
  <c r="P56" i="15" s="1"/>
  <c r="M59" i="15"/>
  <c r="P59" i="15" s="1"/>
  <c r="L151" i="15"/>
  <c r="O151" i="15" s="1"/>
  <c r="O303" i="15"/>
  <c r="M391" i="15"/>
  <c r="P391" i="15" s="1"/>
  <c r="L469" i="15"/>
  <c r="L467" i="15" s="1"/>
  <c r="O467" i="15" s="1"/>
  <c r="K628" i="15"/>
  <c r="K647" i="15"/>
  <c r="L657" i="15"/>
  <c r="O657" i="15" s="1"/>
  <c r="J722" i="15"/>
  <c r="L209" i="15"/>
  <c r="O209" i="15" s="1"/>
  <c r="K370" i="15"/>
  <c r="K673" i="15"/>
  <c r="K821" i="15"/>
  <c r="K824" i="15"/>
  <c r="K827" i="15"/>
  <c r="L391" i="13"/>
  <c r="O391" i="13" s="1"/>
  <c r="L36" i="13"/>
  <c r="O36" i="13" s="1"/>
  <c r="P58" i="14"/>
  <c r="I76" i="14"/>
  <c r="K76" i="14" s="1"/>
  <c r="O93" i="14"/>
  <c r="O170" i="14"/>
  <c r="L231" i="14"/>
  <c r="L19" i="15"/>
  <c r="P32" i="15"/>
  <c r="M29" i="15"/>
  <c r="M31" i="15"/>
  <c r="P31" i="15" s="1"/>
  <c r="K340" i="14"/>
  <c r="K728" i="14"/>
  <c r="P19" i="15"/>
  <c r="P25" i="15"/>
  <c r="M15" i="15"/>
  <c r="M9" i="15" s="1"/>
  <c r="O58" i="14"/>
  <c r="P61" i="14"/>
  <c r="N167" i="14"/>
  <c r="N165" i="14" s="1"/>
  <c r="P54" i="15"/>
  <c r="N317" i="12"/>
  <c r="N315" i="12" s="1"/>
  <c r="K340" i="13"/>
  <c r="K385" i="13"/>
  <c r="O472" i="13"/>
  <c r="M300" i="14"/>
  <c r="P300" i="14" s="1"/>
  <c r="N317" i="14"/>
  <c r="N315" i="14" s="1"/>
  <c r="N404" i="14"/>
  <c r="N402" i="14" s="1"/>
  <c r="P12" i="15"/>
  <c r="M69" i="14"/>
  <c r="P69" i="14" s="1"/>
  <c r="I260" i="14"/>
  <c r="K260" i="14" s="1"/>
  <c r="N279" i="14"/>
  <c r="N277" i="14" s="1"/>
  <c r="M301" i="14"/>
  <c r="P301" i="14" s="1"/>
  <c r="I314" i="14"/>
  <c r="K314" i="14" s="1"/>
  <c r="N331" i="14"/>
  <c r="O331" i="14" s="1"/>
  <c r="L547" i="14"/>
  <c r="O547" i="14" s="1"/>
  <c r="N9" i="15"/>
  <c r="O29" i="15"/>
  <c r="O35" i="15"/>
  <c r="N167" i="13"/>
  <c r="N165" i="13" s="1"/>
  <c r="L55" i="14"/>
  <c r="L53" i="14" s="1"/>
  <c r="M134" i="14"/>
  <c r="P134" i="14" s="1"/>
  <c r="L304" i="14"/>
  <c r="O304" i="14" s="1"/>
  <c r="L525" i="14"/>
  <c r="O525" i="14" s="1"/>
  <c r="L15" i="15"/>
  <c r="M34" i="15"/>
  <c r="P34" i="15" s="1"/>
  <c r="M544" i="15"/>
  <c r="P544" i="15" s="1"/>
  <c r="P545" i="15"/>
  <c r="N44" i="15"/>
  <c r="P44" i="15" s="1"/>
  <c r="P93" i="15"/>
  <c r="J143" i="15"/>
  <c r="J131" i="15" s="1"/>
  <c r="O150" i="15"/>
  <c r="L167" i="15"/>
  <c r="I174" i="15"/>
  <c r="L229" i="15"/>
  <c r="O262" i="15"/>
  <c r="I275" i="15"/>
  <c r="K275" i="15" s="1"/>
  <c r="P333" i="15"/>
  <c r="J364" i="15"/>
  <c r="K385" i="15"/>
  <c r="M419" i="15"/>
  <c r="P555" i="15"/>
  <c r="L56" i="15"/>
  <c r="O56" i="15" s="1"/>
  <c r="L59" i="15"/>
  <c r="O59" i="15" s="1"/>
  <c r="I77" i="15"/>
  <c r="M125" i="15"/>
  <c r="P125" i="15" s="1"/>
  <c r="N152" i="15"/>
  <c r="L184" i="15"/>
  <c r="M187" i="15"/>
  <c r="P187" i="15" s="1"/>
  <c r="P397" i="15"/>
  <c r="M395" i="15"/>
  <c r="P395" i="15" s="1"/>
  <c r="O472" i="15"/>
  <c r="N470" i="15"/>
  <c r="O470" i="15" s="1"/>
  <c r="P353" i="15"/>
  <c r="M351" i="15"/>
  <c r="O420" i="15"/>
  <c r="O468" i="15"/>
  <c r="L23" i="15"/>
  <c r="L21" i="15" s="1"/>
  <c r="P46" i="15"/>
  <c r="L121" i="15"/>
  <c r="N122" i="15"/>
  <c r="M134" i="15"/>
  <c r="L183" i="15"/>
  <c r="N184" i="15"/>
  <c r="P184" i="15" s="1"/>
  <c r="P186" i="15"/>
  <c r="M263" i="15"/>
  <c r="P263" i="15" s="1"/>
  <c r="N331" i="15"/>
  <c r="O331" i="15" s="1"/>
  <c r="K359" i="15"/>
  <c r="I364" i="15"/>
  <c r="K369" i="15"/>
  <c r="M467" i="15"/>
  <c r="P467" i="15" s="1"/>
  <c r="P468" i="15"/>
  <c r="L283" i="15"/>
  <c r="O283" i="15" s="1"/>
  <c r="O285" i="15"/>
  <c r="P350" i="15"/>
  <c r="M348" i="15"/>
  <c r="P348" i="15" s="1"/>
  <c r="P394" i="15"/>
  <c r="M392" i="15"/>
  <c r="P392" i="15" s="1"/>
  <c r="K435" i="15"/>
  <c r="I433" i="15"/>
  <c r="J433" i="15"/>
  <c r="J417" i="15" s="1"/>
  <c r="K462" i="15"/>
  <c r="I443" i="15"/>
  <c r="K443" i="15" s="1"/>
  <c r="L639" i="15"/>
  <c r="O639" i="15" s="1"/>
  <c r="O641" i="15"/>
  <c r="L631" i="15"/>
  <c r="O124" i="15"/>
  <c r="I143" i="15"/>
  <c r="P166" i="15"/>
  <c r="I248" i="15"/>
  <c r="K248" i="15" s="1"/>
  <c r="P266" i="15"/>
  <c r="J288" i="15"/>
  <c r="J275" i="15" s="1"/>
  <c r="N300" i="15"/>
  <c r="N298" i="15" s="1"/>
  <c r="N330" i="15"/>
  <c r="P346" i="15"/>
  <c r="O403" i="15"/>
  <c r="L429" i="15"/>
  <c r="O429" i="15" s="1"/>
  <c r="O431" i="15"/>
  <c r="L421" i="15"/>
  <c r="O421" i="15" s="1"/>
  <c r="O503" i="15"/>
  <c r="N544" i="15"/>
  <c r="P303" i="15"/>
  <c r="P336" i="15"/>
  <c r="M334" i="15"/>
  <c r="P334" i="15" s="1"/>
  <c r="K340" i="15"/>
  <c r="K365" i="15"/>
  <c r="O557" i="15"/>
  <c r="L546" i="15"/>
  <c r="L555" i="15"/>
  <c r="O555" i="15" s="1"/>
  <c r="K594" i="15"/>
  <c r="P756" i="15"/>
  <c r="M754" i="15"/>
  <c r="P754" i="15" s="1"/>
  <c r="O755" i="15"/>
  <c r="L754" i="15"/>
  <c r="O754" i="15" s="1"/>
  <c r="L789" i="15"/>
  <c r="O789" i="15" s="1"/>
  <c r="O791" i="15"/>
  <c r="O807" i="15"/>
  <c r="L805" i="15"/>
  <c r="O805" i="15" s="1"/>
  <c r="P772" i="15"/>
  <c r="M770" i="15"/>
  <c r="P770" i="15" s="1"/>
  <c r="N655" i="15"/>
  <c r="N754" i="15"/>
  <c r="O771" i="15"/>
  <c r="L770" i="15"/>
  <c r="O770" i="15" s="1"/>
  <c r="N807" i="15"/>
  <c r="N805" i="15" s="1"/>
  <c r="N808" i="15"/>
  <c r="P739" i="15"/>
  <c r="M737" i="15"/>
  <c r="P737" i="15" s="1"/>
  <c r="N419" i="15"/>
  <c r="L454" i="15"/>
  <c r="O454" i="15" s="1"/>
  <c r="O456" i="15"/>
  <c r="L446" i="15"/>
  <c r="L526" i="15"/>
  <c r="O526" i="15" s="1"/>
  <c r="O528" i="15"/>
  <c r="O738" i="15"/>
  <c r="L737" i="15"/>
  <c r="O737" i="15" s="1"/>
  <c r="N770" i="15"/>
  <c r="L788" i="15"/>
  <c r="P503" i="15"/>
  <c r="O656" i="15"/>
  <c r="K674" i="15"/>
  <c r="I654" i="15"/>
  <c r="K654" i="15" s="1"/>
  <c r="L658" i="15"/>
  <c r="O658" i="15" s="1"/>
  <c r="K675" i="15"/>
  <c r="M786" i="15"/>
  <c r="P786" i="15" s="1"/>
  <c r="K174" i="14"/>
  <c r="I164" i="14"/>
  <c r="K164" i="14" s="1"/>
  <c r="O660" i="14"/>
  <c r="L657" i="14"/>
  <c r="O657" i="14" s="1"/>
  <c r="O184" i="14"/>
  <c r="L228" i="12"/>
  <c r="L155" i="14"/>
  <c r="O155" i="14" s="1"/>
  <c r="O157" i="14"/>
  <c r="O173" i="14"/>
  <c r="L167" i="14"/>
  <c r="L165" i="14" s="1"/>
  <c r="L171" i="14"/>
  <c r="O171" i="14" s="1"/>
  <c r="M152" i="14"/>
  <c r="M151" i="14"/>
  <c r="M149" i="14" s="1"/>
  <c r="L267" i="14"/>
  <c r="O267" i="14" s="1"/>
  <c r="O269" i="14"/>
  <c r="L547" i="13"/>
  <c r="O547" i="13" s="1"/>
  <c r="L546" i="13"/>
  <c r="O546" i="13" s="1"/>
  <c r="O549" i="13"/>
  <c r="P266" i="14"/>
  <c r="M264" i="14"/>
  <c r="P264" i="14" s="1"/>
  <c r="O320" i="14"/>
  <c r="L318" i="14"/>
  <c r="O318" i="14" s="1"/>
  <c r="N59" i="13"/>
  <c r="N55" i="13"/>
  <c r="N53" i="13" s="1"/>
  <c r="O282" i="14"/>
  <c r="L280" i="14"/>
  <c r="O280" i="14" s="1"/>
  <c r="L279" i="14"/>
  <c r="O279" i="14" s="1"/>
  <c r="L688" i="14"/>
  <c r="O688" i="14" s="1"/>
  <c r="O690" i="14"/>
  <c r="M43" i="13"/>
  <c r="M41" i="13" s="1"/>
  <c r="L26" i="14"/>
  <c r="O59" i="14"/>
  <c r="M68" i="14"/>
  <c r="P68" i="14" s="1"/>
  <c r="O154" i="14"/>
  <c r="L168" i="14"/>
  <c r="O168" i="14" s="1"/>
  <c r="L187" i="14"/>
  <c r="O187" i="14" s="1"/>
  <c r="N183" i="14"/>
  <c r="N181" i="14" s="1"/>
  <c r="N263" i="14"/>
  <c r="N261" i="14" s="1"/>
  <c r="M317" i="14"/>
  <c r="P317" i="14" s="1"/>
  <c r="K338" i="14"/>
  <c r="K360" i="14"/>
  <c r="K369" i="14"/>
  <c r="K372" i="14"/>
  <c r="L395" i="14"/>
  <c r="O395" i="14" s="1"/>
  <c r="K725" i="14"/>
  <c r="O46" i="13"/>
  <c r="L230" i="13"/>
  <c r="L469" i="13"/>
  <c r="O469" i="13" s="1"/>
  <c r="N26" i="14"/>
  <c r="N16" i="14" s="1"/>
  <c r="N14" i="14" s="1"/>
  <c r="K355" i="14"/>
  <c r="L36" i="14"/>
  <c r="O36" i="14" s="1"/>
  <c r="K78" i="14"/>
  <c r="N90" i="14"/>
  <c r="K99" i="14"/>
  <c r="N155" i="14"/>
  <c r="N280" i="14"/>
  <c r="P282" i="14"/>
  <c r="N318" i="14"/>
  <c r="L330" i="14"/>
  <c r="K381" i="14"/>
  <c r="L321" i="13"/>
  <c r="O321" i="13" s="1"/>
  <c r="M72" i="14"/>
  <c r="P72" i="14" s="1"/>
  <c r="L91" i="14"/>
  <c r="O91" i="14" s="1"/>
  <c r="K111" i="14"/>
  <c r="L122" i="14"/>
  <c r="O122" i="14" s="1"/>
  <c r="L125" i="14"/>
  <c r="O125" i="14" s="1"/>
  <c r="L135" i="14"/>
  <c r="O135" i="14" s="1"/>
  <c r="L138" i="14"/>
  <c r="O138" i="14" s="1"/>
  <c r="J143" i="14"/>
  <c r="J131" i="14" s="1"/>
  <c r="O186" i="14"/>
  <c r="N300" i="14"/>
  <c r="N298" i="14" s="1"/>
  <c r="P323" i="14"/>
  <c r="M321" i="13"/>
  <c r="P321" i="13" s="1"/>
  <c r="O61" i="14"/>
  <c r="L151" i="14"/>
  <c r="L149" i="14" s="1"/>
  <c r="P186" i="14"/>
  <c r="O351" i="14"/>
  <c r="K359" i="14"/>
  <c r="O407" i="14"/>
  <c r="P44" i="14"/>
  <c r="M167" i="14"/>
  <c r="M165" i="14" s="1"/>
  <c r="O303" i="14"/>
  <c r="L328" i="14"/>
  <c r="J364" i="14"/>
  <c r="N317" i="13"/>
  <c r="N315" i="13" s="1"/>
  <c r="L47" i="14"/>
  <c r="O47" i="14" s="1"/>
  <c r="M94" i="14"/>
  <c r="P94" i="14" s="1"/>
  <c r="N122" i="14"/>
  <c r="M135" i="14"/>
  <c r="P135" i="14" s="1"/>
  <c r="M168" i="14"/>
  <c r="P168" i="14" s="1"/>
  <c r="M187" i="14"/>
  <c r="P187" i="14" s="1"/>
  <c r="K224" i="14"/>
  <c r="L249" i="14"/>
  <c r="O249" i="14" s="1"/>
  <c r="M318" i="14"/>
  <c r="P318" i="14" s="1"/>
  <c r="L334" i="14"/>
  <c r="O334" i="14" s="1"/>
  <c r="O350" i="14"/>
  <c r="I559" i="14"/>
  <c r="I543" i="14" s="1"/>
  <c r="K543" i="14" s="1"/>
  <c r="K673" i="14"/>
  <c r="K726" i="14"/>
  <c r="I785" i="14"/>
  <c r="K785" i="14" s="1"/>
  <c r="P58" i="13"/>
  <c r="L69" i="14"/>
  <c r="O69" i="14" s="1"/>
  <c r="M125" i="14"/>
  <c r="P125" i="14" s="1"/>
  <c r="I130" i="14"/>
  <c r="K130" i="14" s="1"/>
  <c r="P137" i="14"/>
  <c r="P170" i="14"/>
  <c r="M183" i="14"/>
  <c r="L217" i="14"/>
  <c r="O217" i="14" s="1"/>
  <c r="L238" i="14"/>
  <c r="J288" i="14"/>
  <c r="J275" i="14" s="1"/>
  <c r="O353" i="14"/>
  <c r="K374" i="14"/>
  <c r="K379" i="14"/>
  <c r="M404" i="14"/>
  <c r="L469" i="14"/>
  <c r="O469" i="14" s="1"/>
  <c r="I654" i="14"/>
  <c r="K654" i="14" s="1"/>
  <c r="L687" i="14"/>
  <c r="L685" i="14" s="1"/>
  <c r="O685" i="14" s="1"/>
  <c r="N23" i="14"/>
  <c r="N13" i="14" s="1"/>
  <c r="O49" i="14"/>
  <c r="M90" i="14"/>
  <c r="K675" i="14"/>
  <c r="L68" i="13"/>
  <c r="L66" i="13" s="1"/>
  <c r="L228" i="13"/>
  <c r="O333" i="13"/>
  <c r="L43" i="14"/>
  <c r="L68" i="14"/>
  <c r="L72" i="14"/>
  <c r="O72" i="14" s="1"/>
  <c r="M91" i="14"/>
  <c r="P91" i="14" s="1"/>
  <c r="I112" i="14"/>
  <c r="K112" i="14" s="1"/>
  <c r="M138" i="14"/>
  <c r="P138" i="14" s="1"/>
  <c r="M171" i="14"/>
  <c r="P171" i="14" s="1"/>
  <c r="M184" i="14"/>
  <c r="P184" i="14" s="1"/>
  <c r="L230" i="14"/>
  <c r="L283" i="14"/>
  <c r="O283" i="14" s="1"/>
  <c r="L317" i="14"/>
  <c r="O317" i="14" s="1"/>
  <c r="N391" i="14"/>
  <c r="N389" i="14" s="1"/>
  <c r="M405" i="14"/>
  <c r="P405" i="14" s="1"/>
  <c r="I434" i="14"/>
  <c r="I442" i="14"/>
  <c r="K442" i="14" s="1"/>
  <c r="J537" i="14"/>
  <c r="J522" i="14" s="1"/>
  <c r="J722" i="14"/>
  <c r="K722" i="14" s="1"/>
  <c r="O690" i="12"/>
  <c r="P71" i="13"/>
  <c r="N134" i="13"/>
  <c r="N132" i="13" s="1"/>
  <c r="L330" i="13"/>
  <c r="L328" i="13" s="1"/>
  <c r="L33" i="14"/>
  <c r="P93" i="14"/>
  <c r="L198" i="14"/>
  <c r="O198" i="14" s="1"/>
  <c r="I208" i="14"/>
  <c r="K208" i="14" s="1"/>
  <c r="L209" i="14"/>
  <c r="O209" i="14" s="1"/>
  <c r="M263" i="14"/>
  <c r="N347" i="14"/>
  <c r="K365" i="14"/>
  <c r="K370" i="14"/>
  <c r="K385" i="14"/>
  <c r="K821" i="14"/>
  <c r="K824" i="14"/>
  <c r="K827" i="14"/>
  <c r="M94" i="12"/>
  <c r="P94" i="12" s="1"/>
  <c r="P124" i="12"/>
  <c r="L90" i="13"/>
  <c r="L88" i="13" s="1"/>
  <c r="M121" i="13"/>
  <c r="P121" i="13" s="1"/>
  <c r="N121" i="13"/>
  <c r="N119" i="13" s="1"/>
  <c r="N43" i="13"/>
  <c r="N41" i="13" s="1"/>
  <c r="M167" i="13"/>
  <c r="L209" i="13"/>
  <c r="O209" i="13" s="1"/>
  <c r="P410" i="13"/>
  <c r="M408" i="13"/>
  <c r="P408" i="13" s="1"/>
  <c r="M280" i="12"/>
  <c r="P280" i="12" s="1"/>
  <c r="M304" i="13"/>
  <c r="P304" i="13" s="1"/>
  <c r="P407" i="13"/>
  <c r="M405" i="13"/>
  <c r="P405" i="13" s="1"/>
  <c r="L72" i="12"/>
  <c r="O72" i="12" s="1"/>
  <c r="L263" i="12"/>
  <c r="L261" i="12" s="1"/>
  <c r="M318" i="12"/>
  <c r="P318" i="12" s="1"/>
  <c r="N56" i="13"/>
  <c r="P56" i="13" s="1"/>
  <c r="O350" i="13"/>
  <c r="L348" i="13"/>
  <c r="O348" i="13" s="1"/>
  <c r="O93" i="13"/>
  <c r="N183" i="13"/>
  <c r="N181" i="13" s="1"/>
  <c r="L263" i="13"/>
  <c r="L261" i="13" s="1"/>
  <c r="K593" i="13"/>
  <c r="I628" i="13"/>
  <c r="K628" i="13" s="1"/>
  <c r="K725" i="13"/>
  <c r="L9" i="14"/>
  <c r="L15" i="14"/>
  <c r="M23" i="14"/>
  <c r="M21" i="14" s="1"/>
  <c r="L29" i="14"/>
  <c r="M30" i="14"/>
  <c r="P30" i="14" s="1"/>
  <c r="M55" i="14"/>
  <c r="N68" i="14"/>
  <c r="N66" i="14" s="1"/>
  <c r="I143" i="14"/>
  <c r="N152" i="14"/>
  <c r="P154" i="14"/>
  <c r="L183" i="14"/>
  <c r="I190" i="14"/>
  <c r="K190" i="14" s="1"/>
  <c r="M279" i="14"/>
  <c r="P279" i="14" s="1"/>
  <c r="L300" i="14"/>
  <c r="O300" i="14" s="1"/>
  <c r="O329" i="14"/>
  <c r="J327" i="14"/>
  <c r="K327" i="14" s="1"/>
  <c r="K362" i="14"/>
  <c r="K378" i="14"/>
  <c r="P390" i="14"/>
  <c r="P394" i="14"/>
  <c r="M392" i="14"/>
  <c r="P392" i="14" s="1"/>
  <c r="P285" i="14"/>
  <c r="P333" i="14"/>
  <c r="M331" i="14"/>
  <c r="K700" i="13"/>
  <c r="M28" i="14"/>
  <c r="P28" i="14" s="1"/>
  <c r="M34" i="14"/>
  <c r="P34" i="14" s="1"/>
  <c r="N43" i="14"/>
  <c r="O46" i="14"/>
  <c r="N151" i="14"/>
  <c r="I197" i="14"/>
  <c r="K197" i="14" s="1"/>
  <c r="L228" i="14"/>
  <c r="K309" i="14"/>
  <c r="L408" i="14"/>
  <c r="O408" i="14" s="1"/>
  <c r="O410" i="14"/>
  <c r="M419" i="14"/>
  <c r="P420" i="14"/>
  <c r="K723" i="13"/>
  <c r="M26" i="14"/>
  <c r="P46" i="14"/>
  <c r="L56" i="14"/>
  <c r="M59" i="14"/>
  <c r="P59" i="14" s="1"/>
  <c r="I77" i="14"/>
  <c r="K98" i="14"/>
  <c r="M122" i="14"/>
  <c r="P122" i="14" s="1"/>
  <c r="L134" i="14"/>
  <c r="L263" i="14"/>
  <c r="N264" i="14"/>
  <c r="O264" i="14" s="1"/>
  <c r="M330" i="14"/>
  <c r="O333" i="14"/>
  <c r="P353" i="14"/>
  <c r="M351" i="14"/>
  <c r="P351" i="14" s="1"/>
  <c r="I364" i="14"/>
  <c r="P397" i="14"/>
  <c r="M395" i="14"/>
  <c r="P395" i="14" s="1"/>
  <c r="J537" i="13"/>
  <c r="J522" i="13" s="1"/>
  <c r="M12" i="14"/>
  <c r="M19" i="14"/>
  <c r="P306" i="14"/>
  <c r="M304" i="14"/>
  <c r="P304" i="14" s="1"/>
  <c r="P320" i="14"/>
  <c r="L404" i="14"/>
  <c r="O404" i="14" s="1"/>
  <c r="K462" i="14"/>
  <c r="I443" i="14"/>
  <c r="K443" i="14" s="1"/>
  <c r="L657" i="13"/>
  <c r="O657" i="13" s="1"/>
  <c r="N12" i="14"/>
  <c r="L23" i="14"/>
  <c r="M121" i="14"/>
  <c r="P121" i="14" s="1"/>
  <c r="N134" i="14"/>
  <c r="N132" i="14" s="1"/>
  <c r="P182" i="14"/>
  <c r="K244" i="14"/>
  <c r="I237" i="14"/>
  <c r="O266" i="14"/>
  <c r="I276" i="14"/>
  <c r="K276" i="14" s="1"/>
  <c r="L321" i="14"/>
  <c r="O321" i="14" s="1"/>
  <c r="P336" i="14"/>
  <c r="M334" i="14"/>
  <c r="P334" i="14" s="1"/>
  <c r="O346" i="14"/>
  <c r="P350" i="14"/>
  <c r="M348" i="14"/>
  <c r="P348" i="14" s="1"/>
  <c r="K435" i="14"/>
  <c r="J433" i="14"/>
  <c r="J417" i="14" s="1"/>
  <c r="K417" i="14" s="1"/>
  <c r="L454" i="14"/>
  <c r="O454" i="14" s="1"/>
  <c r="O456" i="14"/>
  <c r="L446" i="14"/>
  <c r="N629" i="14"/>
  <c r="P756" i="14"/>
  <c r="M754" i="14"/>
  <c r="P754" i="14" s="1"/>
  <c r="L429" i="14"/>
  <c r="O429" i="14" s="1"/>
  <c r="O431" i="14"/>
  <c r="L421" i="14"/>
  <c r="O755" i="14"/>
  <c r="L754" i="14"/>
  <c r="O754" i="14" s="1"/>
  <c r="L789" i="14"/>
  <c r="O789" i="14" s="1"/>
  <c r="O791" i="14"/>
  <c r="O807" i="14"/>
  <c r="L805" i="14"/>
  <c r="O805" i="14" s="1"/>
  <c r="L526" i="14"/>
  <c r="O526" i="14" s="1"/>
  <c r="O528" i="14"/>
  <c r="P772" i="14"/>
  <c r="M770" i="14"/>
  <c r="P770" i="14" s="1"/>
  <c r="P545" i="14"/>
  <c r="M544" i="14"/>
  <c r="P544" i="14" s="1"/>
  <c r="K592" i="14"/>
  <c r="O771" i="14"/>
  <c r="L770" i="14"/>
  <c r="O770" i="14" s="1"/>
  <c r="N807" i="14"/>
  <c r="N805" i="14" s="1"/>
  <c r="N808" i="14"/>
  <c r="P739" i="14"/>
  <c r="M737" i="14"/>
  <c r="P737" i="14" s="1"/>
  <c r="L639" i="14"/>
  <c r="O639" i="14" s="1"/>
  <c r="O641" i="14"/>
  <c r="L631" i="14"/>
  <c r="O631" i="14" s="1"/>
  <c r="K669" i="14"/>
  <c r="O738" i="14"/>
  <c r="L737" i="14"/>
  <c r="O737" i="14" s="1"/>
  <c r="L788" i="14"/>
  <c r="O403" i="14"/>
  <c r="P468" i="14"/>
  <c r="L470" i="14"/>
  <c r="O470" i="14" s="1"/>
  <c r="P503" i="14"/>
  <c r="O656" i="14"/>
  <c r="K674" i="14"/>
  <c r="J721" i="14"/>
  <c r="K721" i="14" s="1"/>
  <c r="L555" i="14"/>
  <c r="O555" i="14" s="1"/>
  <c r="L658" i="14"/>
  <c r="O658" i="14" s="1"/>
  <c r="K537" i="14"/>
  <c r="L546" i="14"/>
  <c r="K593" i="14"/>
  <c r="L279" i="11"/>
  <c r="O279" i="11" s="1"/>
  <c r="N300" i="11"/>
  <c r="N298" i="11" s="1"/>
  <c r="N183" i="12"/>
  <c r="N181" i="12" s="1"/>
  <c r="M263" i="12"/>
  <c r="P263" i="12" s="1"/>
  <c r="N47" i="13"/>
  <c r="O58" i="13"/>
  <c r="L151" i="13"/>
  <c r="N168" i="13"/>
  <c r="I216" i="13"/>
  <c r="K216" i="13" s="1"/>
  <c r="N263" i="13"/>
  <c r="N261" i="13" s="1"/>
  <c r="I276" i="13"/>
  <c r="K276" i="13" s="1"/>
  <c r="M391" i="13"/>
  <c r="M389" i="13" s="1"/>
  <c r="P389" i="13" s="1"/>
  <c r="K538" i="13"/>
  <c r="P168" i="12"/>
  <c r="O264" i="12"/>
  <c r="N68" i="13"/>
  <c r="N66" i="13" s="1"/>
  <c r="O154" i="13"/>
  <c r="O173" i="13"/>
  <c r="K204" i="13"/>
  <c r="P303" i="13"/>
  <c r="N318" i="13"/>
  <c r="O557" i="13"/>
  <c r="J722" i="13"/>
  <c r="K722" i="13" s="1"/>
  <c r="O127" i="13"/>
  <c r="L149" i="13"/>
  <c r="L155" i="13"/>
  <c r="O155" i="13" s="1"/>
  <c r="N55" i="12"/>
  <c r="N53" i="12" s="1"/>
  <c r="M151" i="12"/>
  <c r="M149" i="12" s="1"/>
  <c r="P149" i="12" s="1"/>
  <c r="M167" i="12"/>
  <c r="M165" i="12" s="1"/>
  <c r="O306" i="12"/>
  <c r="N391" i="12"/>
  <c r="N389" i="12" s="1"/>
  <c r="L23" i="13"/>
  <c r="L21" i="13" s="1"/>
  <c r="I77" i="13"/>
  <c r="I65" i="13" s="1"/>
  <c r="K65" i="13" s="1"/>
  <c r="I87" i="13"/>
  <c r="K87" i="13" s="1"/>
  <c r="L94" i="13"/>
  <c r="O94" i="13" s="1"/>
  <c r="I112" i="13"/>
  <c r="K112" i="13" s="1"/>
  <c r="P127" i="13"/>
  <c r="M135" i="13"/>
  <c r="P135" i="13" s="1"/>
  <c r="O170" i="13"/>
  <c r="L404" i="13"/>
  <c r="O404" i="13" s="1"/>
  <c r="O424" i="13"/>
  <c r="I434" i="13"/>
  <c r="K434" i="13" s="1"/>
  <c r="O479" i="13"/>
  <c r="L525" i="13"/>
  <c r="L523" i="13" s="1"/>
  <c r="O523" i="13" s="1"/>
  <c r="I559" i="13"/>
  <c r="K559" i="13" s="1"/>
  <c r="K360" i="12"/>
  <c r="L59" i="13"/>
  <c r="O59" i="13" s="1"/>
  <c r="M55" i="13"/>
  <c r="K115" i="13"/>
  <c r="N135" i="13"/>
  <c r="M183" i="13"/>
  <c r="M181" i="13" s="1"/>
  <c r="I190" i="13"/>
  <c r="K190" i="13" s="1"/>
  <c r="L217" i="13"/>
  <c r="O217" i="13" s="1"/>
  <c r="L231" i="13"/>
  <c r="L347" i="13"/>
  <c r="L345" i="13" s="1"/>
  <c r="L405" i="13"/>
  <c r="O405" i="13" s="1"/>
  <c r="O690" i="13"/>
  <c r="K720" i="13"/>
  <c r="K821" i="13"/>
  <c r="K824" i="13"/>
  <c r="K827" i="13"/>
  <c r="P140" i="13"/>
  <c r="M138" i="13"/>
  <c r="P138" i="13" s="1"/>
  <c r="M263" i="13"/>
  <c r="P263" i="13" s="1"/>
  <c r="P266" i="13"/>
  <c r="M264" i="13"/>
  <c r="P264" i="13" s="1"/>
  <c r="N405" i="13"/>
  <c r="N404" i="13"/>
  <c r="N402" i="13" s="1"/>
  <c r="N317" i="11"/>
  <c r="N315" i="11" s="1"/>
  <c r="M55" i="12"/>
  <c r="M53" i="12" s="1"/>
  <c r="N151" i="12"/>
  <c r="N149" i="12" s="1"/>
  <c r="L171" i="12"/>
  <c r="O171" i="12" s="1"/>
  <c r="I216" i="12"/>
  <c r="K216" i="12" s="1"/>
  <c r="M264" i="12"/>
  <c r="P264" i="12" s="1"/>
  <c r="M267" i="12"/>
  <c r="P267" i="12" s="1"/>
  <c r="M283" i="12"/>
  <c r="P283" i="12" s="1"/>
  <c r="N318" i="12"/>
  <c r="M321" i="12"/>
  <c r="P321" i="12" s="1"/>
  <c r="N347" i="12"/>
  <c r="N345" i="12" s="1"/>
  <c r="K369" i="12"/>
  <c r="J364" i="12"/>
  <c r="K378" i="12"/>
  <c r="K381" i="12"/>
  <c r="N404" i="12"/>
  <c r="N402" i="12" s="1"/>
  <c r="K723" i="12"/>
  <c r="M47" i="13"/>
  <c r="P47" i="13" s="1"/>
  <c r="M72" i="13"/>
  <c r="P72" i="13" s="1"/>
  <c r="K81" i="13"/>
  <c r="I130" i="13"/>
  <c r="K130" i="13" s="1"/>
  <c r="N151" i="13"/>
  <c r="N149" i="13" s="1"/>
  <c r="M152" i="13"/>
  <c r="P152" i="13" s="1"/>
  <c r="P154" i="13"/>
  <c r="L167" i="13"/>
  <c r="K271" i="13"/>
  <c r="I260" i="13"/>
  <c r="K260" i="13" s="1"/>
  <c r="P333" i="13"/>
  <c r="K438" i="13"/>
  <c r="I442" i="13"/>
  <c r="K442" i="13" s="1"/>
  <c r="M318" i="11"/>
  <c r="P318" i="11" s="1"/>
  <c r="L69" i="12"/>
  <c r="O69" i="12" s="1"/>
  <c r="M171" i="12"/>
  <c r="P171" i="12" s="1"/>
  <c r="M187" i="12"/>
  <c r="P187" i="12" s="1"/>
  <c r="P61" i="13"/>
  <c r="K98" i="13"/>
  <c r="L168" i="13"/>
  <c r="L238" i="13"/>
  <c r="O238" i="13" s="1"/>
  <c r="M280" i="13"/>
  <c r="P280" i="13" s="1"/>
  <c r="K309" i="13"/>
  <c r="I297" i="13"/>
  <c r="K297" i="13" s="1"/>
  <c r="L395" i="13"/>
  <c r="O395" i="13" s="1"/>
  <c r="O91" i="12"/>
  <c r="P135" i="12"/>
  <c r="K728" i="12"/>
  <c r="N90" i="13"/>
  <c r="N88" i="13" s="1"/>
  <c r="O124" i="13"/>
  <c r="K159" i="13"/>
  <c r="I148" i="13"/>
  <c r="K148" i="13" s="1"/>
  <c r="O189" i="13"/>
  <c r="O285" i="13"/>
  <c r="O336" i="13"/>
  <c r="P91" i="11"/>
  <c r="O353" i="12"/>
  <c r="L33" i="13"/>
  <c r="O33" i="13" s="1"/>
  <c r="M68" i="13"/>
  <c r="M318" i="13"/>
  <c r="P318" i="13" s="1"/>
  <c r="M317" i="13"/>
  <c r="P317" i="13" s="1"/>
  <c r="I522" i="13"/>
  <c r="K522" i="13" s="1"/>
  <c r="K537" i="13"/>
  <c r="K823" i="13"/>
  <c r="K826" i="13"/>
  <c r="K244" i="12"/>
  <c r="M391" i="12"/>
  <c r="P391" i="12" s="1"/>
  <c r="P46" i="13"/>
  <c r="M69" i="13"/>
  <c r="P69" i="13" s="1"/>
  <c r="L121" i="13"/>
  <c r="O121" i="13" s="1"/>
  <c r="L134" i="13"/>
  <c r="O134" i="13" s="1"/>
  <c r="K215" i="13"/>
  <c r="I208" i="13"/>
  <c r="K208" i="13" s="1"/>
  <c r="P269" i="13"/>
  <c r="M267" i="13"/>
  <c r="P267" i="13" s="1"/>
  <c r="O303" i="13"/>
  <c r="L301" i="13"/>
  <c r="O301" i="13" s="1"/>
  <c r="O394" i="13"/>
  <c r="L392" i="13"/>
  <c r="O392" i="13" s="1"/>
  <c r="O410" i="13"/>
  <c r="L408" i="13"/>
  <c r="O408" i="13" s="1"/>
  <c r="I785" i="13"/>
  <c r="K785" i="13" s="1"/>
  <c r="K800" i="13"/>
  <c r="K673" i="13"/>
  <c r="M187" i="13"/>
  <c r="P187" i="13" s="1"/>
  <c r="N300" i="13"/>
  <c r="N298" i="13" s="1"/>
  <c r="L317" i="13"/>
  <c r="O317" i="13" s="1"/>
  <c r="J327" i="13"/>
  <c r="K327" i="13" s="1"/>
  <c r="J433" i="13"/>
  <c r="J417" i="13" s="1"/>
  <c r="K669" i="13"/>
  <c r="L687" i="13"/>
  <c r="L685" i="13" s="1"/>
  <c r="O685" i="13" s="1"/>
  <c r="J721" i="13"/>
  <c r="K721" i="13" s="1"/>
  <c r="M134" i="13"/>
  <c r="P134" i="13" s="1"/>
  <c r="O266" i="13"/>
  <c r="N279" i="13"/>
  <c r="N277" i="13" s="1"/>
  <c r="K338" i="13"/>
  <c r="P15" i="13"/>
  <c r="N29" i="13"/>
  <c r="N28" i="13" s="1"/>
  <c r="N34" i="13"/>
  <c r="O468" i="13"/>
  <c r="P756" i="13"/>
  <c r="M754" i="13"/>
  <c r="P754" i="13" s="1"/>
  <c r="N134" i="11"/>
  <c r="N132" i="11" s="1"/>
  <c r="L263" i="11"/>
  <c r="L261" i="11" s="1"/>
  <c r="O96" i="12"/>
  <c r="L94" i="12"/>
  <c r="O94" i="12" s="1"/>
  <c r="O138" i="12"/>
  <c r="L47" i="13"/>
  <c r="O47" i="13" s="1"/>
  <c r="O49" i="13"/>
  <c r="O89" i="13"/>
  <c r="I112" i="11"/>
  <c r="K112" i="11" s="1"/>
  <c r="P46" i="12"/>
  <c r="K338" i="12"/>
  <c r="O19" i="13"/>
  <c r="N15" i="13"/>
  <c r="L55" i="13"/>
  <c r="O74" i="13"/>
  <c r="L72" i="13"/>
  <c r="O72" i="13" s="1"/>
  <c r="M155" i="13"/>
  <c r="P155" i="13" s="1"/>
  <c r="M151" i="13"/>
  <c r="P157" i="13"/>
  <c r="M26" i="13"/>
  <c r="L184" i="13"/>
  <c r="O186" i="13"/>
  <c r="L183" i="13"/>
  <c r="I275" i="13"/>
  <c r="K275" i="13" s="1"/>
  <c r="K288" i="13"/>
  <c r="J288" i="13"/>
  <c r="J275" i="13" s="1"/>
  <c r="M263" i="9"/>
  <c r="M261" i="9" s="1"/>
  <c r="P261" i="9" s="1"/>
  <c r="N317" i="10"/>
  <c r="N315" i="10" s="1"/>
  <c r="M347" i="10"/>
  <c r="M345" i="10" s="1"/>
  <c r="M90" i="11"/>
  <c r="M88" i="11" s="1"/>
  <c r="L26" i="13"/>
  <c r="K144" i="13"/>
  <c r="J143" i="13"/>
  <c r="J131" i="13" s="1"/>
  <c r="L94" i="11"/>
  <c r="O94" i="11" s="1"/>
  <c r="L300" i="11"/>
  <c r="O300" i="11" s="1"/>
  <c r="I314" i="11"/>
  <c r="K314" i="11" s="1"/>
  <c r="N68" i="12"/>
  <c r="N66" i="12" s="1"/>
  <c r="P91" i="12"/>
  <c r="N279" i="12"/>
  <c r="N277" i="12" s="1"/>
  <c r="L318" i="12"/>
  <c r="O318" i="12" s="1"/>
  <c r="L405" i="12"/>
  <c r="O405" i="12" s="1"/>
  <c r="O407" i="12"/>
  <c r="M9" i="13"/>
  <c r="P12" i="13"/>
  <c r="K362" i="11"/>
  <c r="K385" i="11"/>
  <c r="I112" i="12"/>
  <c r="K112" i="12" s="1"/>
  <c r="O120" i="13"/>
  <c r="O140" i="13"/>
  <c r="L138" i="13"/>
  <c r="O138" i="13" s="1"/>
  <c r="P182" i="13"/>
  <c r="O168" i="12"/>
  <c r="L391" i="12"/>
  <c r="O391" i="12" s="1"/>
  <c r="N12" i="13"/>
  <c r="M19" i="13"/>
  <c r="N23" i="13"/>
  <c r="I76" i="13"/>
  <c r="P96" i="13"/>
  <c r="M94" i="13"/>
  <c r="P94" i="13" s="1"/>
  <c r="P124" i="13"/>
  <c r="K145" i="13"/>
  <c r="I143" i="13"/>
  <c r="O150" i="13"/>
  <c r="P166" i="13"/>
  <c r="P170" i="13"/>
  <c r="M168" i="13"/>
  <c r="I174" i="13"/>
  <c r="M283" i="13"/>
  <c r="P283" i="13" s="1"/>
  <c r="P285" i="13"/>
  <c r="M279" i="13"/>
  <c r="O316" i="13"/>
  <c r="N351" i="13"/>
  <c r="O351" i="13" s="1"/>
  <c r="P353" i="13"/>
  <c r="N347" i="13"/>
  <c r="O353" i="13"/>
  <c r="L639" i="13"/>
  <c r="O639" i="13" s="1"/>
  <c r="O641" i="13"/>
  <c r="L631" i="13"/>
  <c r="L231" i="12"/>
  <c r="L317" i="12"/>
  <c r="O317" i="12" s="1"/>
  <c r="K374" i="12"/>
  <c r="M405" i="12"/>
  <c r="P405" i="12" s="1"/>
  <c r="O25" i="13"/>
  <c r="L15" i="13"/>
  <c r="N26" i="13"/>
  <c r="N16" i="13" s="1"/>
  <c r="P33" i="13"/>
  <c r="M30" i="13"/>
  <c r="P30" i="13" s="1"/>
  <c r="L43" i="13"/>
  <c r="N44" i="13"/>
  <c r="M23" i="13"/>
  <c r="O152" i="13"/>
  <c r="P186" i="13"/>
  <c r="N184" i="13"/>
  <c r="P184" i="13" s="1"/>
  <c r="L198" i="13"/>
  <c r="O198" i="13" s="1"/>
  <c r="I233" i="13"/>
  <c r="K233" i="13" s="1"/>
  <c r="K244" i="13"/>
  <c r="I237" i="13"/>
  <c r="N392" i="13"/>
  <c r="N391" i="13"/>
  <c r="N389" i="13" s="1"/>
  <c r="M414" i="13"/>
  <c r="P414" i="13" s="1"/>
  <c r="P419" i="13"/>
  <c r="P545" i="13"/>
  <c r="M544" i="13"/>
  <c r="P544" i="13" s="1"/>
  <c r="L183" i="12"/>
  <c r="L181" i="12" s="1"/>
  <c r="K700" i="12"/>
  <c r="O32" i="13"/>
  <c r="L29" i="13"/>
  <c r="O71" i="13"/>
  <c r="L69" i="13"/>
  <c r="O69" i="13" s="1"/>
  <c r="N91" i="13"/>
  <c r="O91" i="13" s="1"/>
  <c r="P93" i="13"/>
  <c r="M91" i="13"/>
  <c r="P133" i="13"/>
  <c r="O137" i="13"/>
  <c r="L135" i="13"/>
  <c r="O135" i="13" s="1"/>
  <c r="L249" i="13"/>
  <c r="O249" i="13" s="1"/>
  <c r="P186" i="12"/>
  <c r="K385" i="12"/>
  <c r="P173" i="13"/>
  <c r="M171" i="13"/>
  <c r="P171" i="13" s="1"/>
  <c r="L304" i="13"/>
  <c r="O304" i="13" s="1"/>
  <c r="O306" i="13"/>
  <c r="L300" i="13"/>
  <c r="M348" i="13"/>
  <c r="P348" i="13" s="1"/>
  <c r="P350" i="13"/>
  <c r="M347" i="13"/>
  <c r="N469" i="13"/>
  <c r="N467" i="13" s="1"/>
  <c r="N470" i="13"/>
  <c r="L12" i="13"/>
  <c r="N31" i="13"/>
  <c r="M90" i="13"/>
  <c r="L229" i="13"/>
  <c r="L280" i="13"/>
  <c r="O280" i="13" s="1"/>
  <c r="O282" i="13"/>
  <c r="L279" i="13"/>
  <c r="O279" i="13" s="1"/>
  <c r="P262" i="13"/>
  <c r="L264" i="13"/>
  <c r="O264" i="13" s="1"/>
  <c r="L267" i="13"/>
  <c r="O267" i="13" s="1"/>
  <c r="N280" i="13"/>
  <c r="M301" i="13"/>
  <c r="P301" i="13" s="1"/>
  <c r="N304" i="13"/>
  <c r="O320" i="13"/>
  <c r="I364" i="13"/>
  <c r="K364" i="13" s="1"/>
  <c r="M404" i="13"/>
  <c r="L429" i="13"/>
  <c r="O429" i="13" s="1"/>
  <c r="O431" i="13"/>
  <c r="L421" i="13"/>
  <c r="M467" i="13"/>
  <c r="P467" i="13" s="1"/>
  <c r="O688" i="13"/>
  <c r="N737" i="13"/>
  <c r="O755" i="13"/>
  <c r="L754" i="13"/>
  <c r="O754" i="13" s="1"/>
  <c r="L789" i="13"/>
  <c r="O789" i="13" s="1"/>
  <c r="O791" i="13"/>
  <c r="O807" i="13"/>
  <c r="L805" i="13"/>
  <c r="O805" i="13" s="1"/>
  <c r="O403" i="13"/>
  <c r="P772" i="13"/>
  <c r="M770" i="13"/>
  <c r="P770" i="13" s="1"/>
  <c r="M300" i="13"/>
  <c r="K325" i="13"/>
  <c r="N331" i="13"/>
  <c r="P331" i="13" s="1"/>
  <c r="P397" i="13"/>
  <c r="M395" i="13"/>
  <c r="P395" i="13" s="1"/>
  <c r="N419" i="13"/>
  <c r="I433" i="13"/>
  <c r="K435" i="13"/>
  <c r="L526" i="13"/>
  <c r="O526" i="13" s="1"/>
  <c r="O528" i="13"/>
  <c r="N754" i="13"/>
  <c r="O771" i="13"/>
  <c r="L770" i="13"/>
  <c r="O770" i="13" s="1"/>
  <c r="N807" i="13"/>
  <c r="N805" i="13" s="1"/>
  <c r="N808" i="13"/>
  <c r="I248" i="13"/>
  <c r="K248" i="13" s="1"/>
  <c r="M330" i="13"/>
  <c r="P420" i="13"/>
  <c r="I443" i="13"/>
  <c r="K443" i="13" s="1"/>
  <c r="L454" i="13"/>
  <c r="O454" i="13" s="1"/>
  <c r="O456" i="13"/>
  <c r="L446" i="13"/>
  <c r="O446" i="13" s="1"/>
  <c r="N544" i="13"/>
  <c r="P739" i="13"/>
  <c r="M737" i="13"/>
  <c r="P737" i="13" s="1"/>
  <c r="N330" i="13"/>
  <c r="P336" i="13"/>
  <c r="P394" i="13"/>
  <c r="M392" i="13"/>
  <c r="P392" i="13" s="1"/>
  <c r="O503" i="13"/>
  <c r="O738" i="13"/>
  <c r="L737" i="13"/>
  <c r="O737" i="13" s="1"/>
  <c r="N770" i="13"/>
  <c r="O788" i="13"/>
  <c r="L786" i="13"/>
  <c r="O786" i="13" s="1"/>
  <c r="P468" i="13"/>
  <c r="P503" i="13"/>
  <c r="O656" i="13"/>
  <c r="K674" i="13"/>
  <c r="K675" i="13"/>
  <c r="M786" i="13"/>
  <c r="P786" i="13" s="1"/>
  <c r="M167" i="10"/>
  <c r="M165" i="10" s="1"/>
  <c r="P269" i="11"/>
  <c r="L33" i="12"/>
  <c r="L31" i="12" s="1"/>
  <c r="O31" i="12" s="1"/>
  <c r="N56" i="12"/>
  <c r="P56" i="12" s="1"/>
  <c r="P58" i="12"/>
  <c r="N283" i="12"/>
  <c r="P301" i="12"/>
  <c r="N300" i="12"/>
  <c r="N298" i="12" s="1"/>
  <c r="L321" i="12"/>
  <c r="O321" i="12" s="1"/>
  <c r="N392" i="12"/>
  <c r="I559" i="12"/>
  <c r="I543" i="12" s="1"/>
  <c r="K543" i="12" s="1"/>
  <c r="K822" i="12"/>
  <c r="K825" i="12"/>
  <c r="K828" i="12"/>
  <c r="K593" i="11"/>
  <c r="M47" i="12"/>
  <c r="P47" i="12" s="1"/>
  <c r="L134" i="12"/>
  <c r="L132" i="12" s="1"/>
  <c r="O140" i="12"/>
  <c r="L187" i="12"/>
  <c r="O187" i="12" s="1"/>
  <c r="L347" i="12"/>
  <c r="L345" i="12" s="1"/>
  <c r="N26" i="12"/>
  <c r="N24" i="12" s="1"/>
  <c r="I76" i="12"/>
  <c r="K76" i="12" s="1"/>
  <c r="L90" i="12"/>
  <c r="L88" i="12" s="1"/>
  <c r="P140" i="12"/>
  <c r="P157" i="12"/>
  <c r="L249" i="12"/>
  <c r="O249" i="12" s="1"/>
  <c r="O333" i="12"/>
  <c r="L525" i="12"/>
  <c r="O525" i="12" s="1"/>
  <c r="L547" i="12"/>
  <c r="O547" i="12" s="1"/>
  <c r="L687" i="12"/>
  <c r="L685" i="12" s="1"/>
  <c r="O685" i="12" s="1"/>
  <c r="K725" i="12"/>
  <c r="O58" i="12"/>
  <c r="M90" i="12"/>
  <c r="M88" i="12" s="1"/>
  <c r="L167" i="12"/>
  <c r="L165" i="12" s="1"/>
  <c r="O303" i="12"/>
  <c r="K675" i="12"/>
  <c r="I785" i="11"/>
  <c r="K785" i="11" s="1"/>
  <c r="O186" i="12"/>
  <c r="M408" i="12"/>
  <c r="P408" i="12" s="1"/>
  <c r="L469" i="12"/>
  <c r="O469" i="12" s="1"/>
  <c r="K669" i="12"/>
  <c r="K821" i="12"/>
  <c r="K824" i="12"/>
  <c r="K827" i="12"/>
  <c r="N23" i="12"/>
  <c r="N13" i="12" s="1"/>
  <c r="L43" i="12"/>
  <c r="L41" i="12" s="1"/>
  <c r="L68" i="12"/>
  <c r="I77" i="12"/>
  <c r="I65" i="12" s="1"/>
  <c r="K65" i="12" s="1"/>
  <c r="P93" i="12"/>
  <c r="P127" i="12"/>
  <c r="O184" i="12"/>
  <c r="O189" i="12"/>
  <c r="I233" i="12"/>
  <c r="K233" i="12" s="1"/>
  <c r="I248" i="12"/>
  <c r="I276" i="12"/>
  <c r="K276" i="12" s="1"/>
  <c r="O348" i="12"/>
  <c r="L351" i="12"/>
  <c r="O351" i="12" s="1"/>
  <c r="O394" i="12"/>
  <c r="K438" i="12"/>
  <c r="I434" i="12"/>
  <c r="K434" i="12" s="1"/>
  <c r="K460" i="12"/>
  <c r="I442" i="12"/>
  <c r="K442" i="12" s="1"/>
  <c r="L59" i="10"/>
  <c r="O59" i="10" s="1"/>
  <c r="M122" i="10"/>
  <c r="P122" i="10" s="1"/>
  <c r="L231" i="10"/>
  <c r="O282" i="10"/>
  <c r="P58" i="11"/>
  <c r="O93" i="11"/>
  <c r="K355" i="11"/>
  <c r="M43" i="12"/>
  <c r="P71" i="12"/>
  <c r="M121" i="12"/>
  <c r="P138" i="12"/>
  <c r="M152" i="12"/>
  <c r="P152" i="12" s="1"/>
  <c r="N167" i="12"/>
  <c r="N165" i="12" s="1"/>
  <c r="M184" i="12"/>
  <c r="P184" i="12" s="1"/>
  <c r="L198" i="12"/>
  <c r="O198" i="12" s="1"/>
  <c r="K237" i="12"/>
  <c r="I260" i="12"/>
  <c r="K260" i="12" s="1"/>
  <c r="O266" i="12"/>
  <c r="I297" i="12"/>
  <c r="K297" i="12" s="1"/>
  <c r="O323" i="12"/>
  <c r="N331" i="12"/>
  <c r="O331" i="12" s="1"/>
  <c r="N330" i="12"/>
  <c r="N328" i="12" s="1"/>
  <c r="N334" i="12"/>
  <c r="J537" i="12"/>
  <c r="J522" i="12" s="1"/>
  <c r="L229" i="9"/>
  <c r="O46" i="10"/>
  <c r="M59" i="10"/>
  <c r="P59" i="10" s="1"/>
  <c r="O154" i="11"/>
  <c r="O269" i="11"/>
  <c r="K822" i="11"/>
  <c r="K825" i="11"/>
  <c r="K828" i="11"/>
  <c r="N43" i="12"/>
  <c r="N41" i="12" s="1"/>
  <c r="O44" i="12"/>
  <c r="N121" i="12"/>
  <c r="N119" i="12" s="1"/>
  <c r="O135" i="12"/>
  <c r="P154" i="12"/>
  <c r="I197" i="12"/>
  <c r="K197" i="12" s="1"/>
  <c r="N263" i="12"/>
  <c r="N261" i="12" s="1"/>
  <c r="M279" i="12"/>
  <c r="O285" i="12"/>
  <c r="L301" i="12"/>
  <c r="O301" i="12" s="1"/>
  <c r="M317" i="12"/>
  <c r="K365" i="12"/>
  <c r="M404" i="12"/>
  <c r="I433" i="12"/>
  <c r="I417" i="12" s="1"/>
  <c r="O660" i="12"/>
  <c r="L657" i="12"/>
  <c r="O657" i="12" s="1"/>
  <c r="O397" i="12"/>
  <c r="L395" i="12"/>
  <c r="O395" i="12" s="1"/>
  <c r="L183" i="4"/>
  <c r="L181" i="4" s="1"/>
  <c r="N391" i="11"/>
  <c r="N389" i="11" s="1"/>
  <c r="M404" i="11"/>
  <c r="P404" i="11" s="1"/>
  <c r="K669" i="11"/>
  <c r="M44" i="12"/>
  <c r="P44" i="12" s="1"/>
  <c r="L59" i="12"/>
  <c r="O59" i="12" s="1"/>
  <c r="O170" i="12"/>
  <c r="L217" i="12"/>
  <c r="O217" i="12" s="1"/>
  <c r="K325" i="12"/>
  <c r="K651" i="12"/>
  <c r="I628" i="12"/>
  <c r="K628" i="12" s="1"/>
  <c r="P96" i="10"/>
  <c r="N404" i="10"/>
  <c r="N402" i="10" s="1"/>
  <c r="L55" i="11"/>
  <c r="L53" i="11" s="1"/>
  <c r="M283" i="11"/>
  <c r="P283" i="11" s="1"/>
  <c r="M301" i="11"/>
  <c r="P301" i="11" s="1"/>
  <c r="M304" i="11"/>
  <c r="P304" i="11" s="1"/>
  <c r="M26" i="12"/>
  <c r="M24" i="12" s="1"/>
  <c r="L55" i="12"/>
  <c r="M59" i="12"/>
  <c r="P59" i="12" s="1"/>
  <c r="O93" i="12"/>
  <c r="L151" i="12"/>
  <c r="O151" i="12" s="1"/>
  <c r="K159" i="12"/>
  <c r="L209" i="12"/>
  <c r="O209" i="12" s="1"/>
  <c r="L238" i="12"/>
  <c r="O238" i="12" s="1"/>
  <c r="L330" i="12"/>
  <c r="O336" i="12"/>
  <c r="K340" i="12"/>
  <c r="O350" i="12"/>
  <c r="J327" i="12"/>
  <c r="K327" i="12" s="1"/>
  <c r="J722" i="12"/>
  <c r="K722" i="12" s="1"/>
  <c r="K800" i="12"/>
  <c r="K355" i="12"/>
  <c r="K372" i="12"/>
  <c r="I654" i="12"/>
  <c r="K654" i="12" s="1"/>
  <c r="K673" i="12"/>
  <c r="K726" i="12"/>
  <c r="K823" i="12"/>
  <c r="K826" i="12"/>
  <c r="I522" i="11"/>
  <c r="K522" i="11" s="1"/>
  <c r="K537" i="11"/>
  <c r="N9" i="12"/>
  <c r="O407" i="10"/>
  <c r="L405" i="10"/>
  <c r="O405" i="10" s="1"/>
  <c r="L348" i="10"/>
  <c r="L347" i="10"/>
  <c r="L345" i="10" s="1"/>
  <c r="N330" i="11"/>
  <c r="N328" i="11" s="1"/>
  <c r="O410" i="10"/>
  <c r="L408" i="10"/>
  <c r="O408" i="10" s="1"/>
  <c r="P29" i="12"/>
  <c r="M28" i="12"/>
  <c r="P28" i="12" s="1"/>
  <c r="L639" i="12"/>
  <c r="O639" i="12" s="1"/>
  <c r="O641" i="12"/>
  <c r="L631" i="12"/>
  <c r="O631" i="12" s="1"/>
  <c r="L121" i="7"/>
  <c r="O121" i="7" s="1"/>
  <c r="M55" i="11"/>
  <c r="M53" i="11" s="1"/>
  <c r="L72" i="11"/>
  <c r="O72" i="11" s="1"/>
  <c r="L230" i="11"/>
  <c r="L26" i="12"/>
  <c r="M34" i="12"/>
  <c r="P34" i="12" s="1"/>
  <c r="P61" i="12"/>
  <c r="K80" i="12"/>
  <c r="L122" i="12"/>
  <c r="O122" i="12" s="1"/>
  <c r="M134" i="12"/>
  <c r="O137" i="12"/>
  <c r="L155" i="12"/>
  <c r="O155" i="12" s="1"/>
  <c r="P170" i="12"/>
  <c r="I174" i="12"/>
  <c r="J143" i="10"/>
  <c r="J131" i="10" s="1"/>
  <c r="O350" i="10"/>
  <c r="I148" i="11"/>
  <c r="K148" i="11" s="1"/>
  <c r="O157" i="11"/>
  <c r="L231" i="11"/>
  <c r="I276" i="11"/>
  <c r="K276" i="11" s="1"/>
  <c r="L12" i="12"/>
  <c r="L19" i="12"/>
  <c r="L56" i="12"/>
  <c r="M68" i="12"/>
  <c r="P68" i="12" s="1"/>
  <c r="I86" i="12"/>
  <c r="K86" i="12" s="1"/>
  <c r="N134" i="12"/>
  <c r="P137" i="12"/>
  <c r="J143" i="12"/>
  <c r="J131" i="12" s="1"/>
  <c r="I190" i="12"/>
  <c r="K190" i="12" s="1"/>
  <c r="L229" i="12"/>
  <c r="P262" i="12"/>
  <c r="L267" i="12"/>
  <c r="O267" i="12" s="1"/>
  <c r="P306" i="12"/>
  <c r="M300" i="12"/>
  <c r="P350" i="12"/>
  <c r="M348" i="12"/>
  <c r="P348" i="12" s="1"/>
  <c r="M347" i="12"/>
  <c r="M12" i="12"/>
  <c r="M19" i="12"/>
  <c r="P35" i="12"/>
  <c r="O46" i="12"/>
  <c r="O49" i="12"/>
  <c r="P74" i="12"/>
  <c r="L121" i="12"/>
  <c r="O121" i="12" s="1"/>
  <c r="L279" i="12"/>
  <c r="O279" i="12" s="1"/>
  <c r="O282" i="12"/>
  <c r="J288" i="12"/>
  <c r="J275" i="12" s="1"/>
  <c r="I275" i="12"/>
  <c r="K275" i="12" s="1"/>
  <c r="P333" i="12"/>
  <c r="M331" i="12"/>
  <c r="M330" i="12"/>
  <c r="L408" i="12"/>
  <c r="O408" i="12" s="1"/>
  <c r="O410" i="12"/>
  <c r="L454" i="12"/>
  <c r="O454" i="12" s="1"/>
  <c r="O456" i="12"/>
  <c r="L446" i="12"/>
  <c r="O390" i="12"/>
  <c r="L217" i="11"/>
  <c r="O217" i="11" s="1"/>
  <c r="N301" i="11"/>
  <c r="L23" i="12"/>
  <c r="L36" i="12"/>
  <c r="K99" i="12"/>
  <c r="K115" i="12"/>
  <c r="L125" i="12"/>
  <c r="O125" i="12" s="1"/>
  <c r="K145" i="12"/>
  <c r="I143" i="12"/>
  <c r="L152" i="12"/>
  <c r="O152" i="12" s="1"/>
  <c r="K215" i="12"/>
  <c r="J226" i="12"/>
  <c r="J180" i="12" s="1"/>
  <c r="L230" i="12"/>
  <c r="K288" i="12"/>
  <c r="L300" i="12"/>
  <c r="L404" i="12"/>
  <c r="O404" i="12" s="1"/>
  <c r="O278" i="12"/>
  <c r="P336" i="12"/>
  <c r="M334" i="12"/>
  <c r="P334" i="12" s="1"/>
  <c r="O738" i="12"/>
  <c r="L737" i="12"/>
  <c r="O737" i="12" s="1"/>
  <c r="N90" i="11"/>
  <c r="N88" i="11" s="1"/>
  <c r="M264" i="11"/>
  <c r="P264" i="11" s="1"/>
  <c r="K651" i="11"/>
  <c r="J721" i="11"/>
  <c r="M23" i="12"/>
  <c r="M21" i="12" s="1"/>
  <c r="K87" i="12"/>
  <c r="N90" i="12"/>
  <c r="P353" i="12"/>
  <c r="M351" i="12"/>
  <c r="P351" i="12" s="1"/>
  <c r="P419" i="12"/>
  <c r="I443" i="12"/>
  <c r="K443" i="12" s="1"/>
  <c r="N629" i="12"/>
  <c r="P756" i="12"/>
  <c r="M754" i="12"/>
  <c r="P754" i="12" s="1"/>
  <c r="L789" i="12"/>
  <c r="O789" i="12" s="1"/>
  <c r="O791" i="12"/>
  <c r="O807" i="12"/>
  <c r="L805" i="12"/>
  <c r="O805" i="12" s="1"/>
  <c r="K359" i="12"/>
  <c r="I364" i="12"/>
  <c r="K379" i="12"/>
  <c r="P394" i="12"/>
  <c r="M392" i="12"/>
  <c r="P392" i="12" s="1"/>
  <c r="L429" i="12"/>
  <c r="O429" i="12" s="1"/>
  <c r="O431" i="12"/>
  <c r="L421" i="12"/>
  <c r="L526" i="12"/>
  <c r="O526" i="12" s="1"/>
  <c r="O528" i="12"/>
  <c r="N544" i="12"/>
  <c r="N655" i="12"/>
  <c r="N737" i="12"/>
  <c r="O755" i="12"/>
  <c r="L754" i="12"/>
  <c r="O754" i="12" s="1"/>
  <c r="P545" i="12"/>
  <c r="M544" i="12"/>
  <c r="P544" i="12" s="1"/>
  <c r="P772" i="12"/>
  <c r="M770" i="12"/>
  <c r="P770" i="12" s="1"/>
  <c r="N807" i="12"/>
  <c r="N805" i="12" s="1"/>
  <c r="N808" i="12"/>
  <c r="K592" i="12"/>
  <c r="O771" i="12"/>
  <c r="L770" i="12"/>
  <c r="O770" i="12" s="1"/>
  <c r="P303" i="12"/>
  <c r="K362" i="12"/>
  <c r="K370" i="12"/>
  <c r="K594" i="12"/>
  <c r="P739" i="12"/>
  <c r="M737" i="12"/>
  <c r="P737" i="12" s="1"/>
  <c r="O788" i="12"/>
  <c r="L786" i="12"/>
  <c r="O786" i="12" s="1"/>
  <c r="M395" i="12"/>
  <c r="P395" i="12" s="1"/>
  <c r="O403" i="12"/>
  <c r="P468" i="12"/>
  <c r="L470" i="12"/>
  <c r="O470" i="12" s="1"/>
  <c r="P503" i="12"/>
  <c r="O656" i="12"/>
  <c r="K674" i="12"/>
  <c r="J721" i="12"/>
  <c r="K721" i="12" s="1"/>
  <c r="L658" i="12"/>
  <c r="O658" i="12" s="1"/>
  <c r="M786" i="12"/>
  <c r="P786" i="12" s="1"/>
  <c r="J433" i="12"/>
  <c r="J417" i="12" s="1"/>
  <c r="K537" i="12"/>
  <c r="L546" i="12"/>
  <c r="K593" i="12"/>
  <c r="M134" i="10"/>
  <c r="M132" i="10" s="1"/>
  <c r="P132" i="10" s="1"/>
  <c r="I190" i="11"/>
  <c r="K190" i="11" s="1"/>
  <c r="N318" i="11"/>
  <c r="L347" i="11"/>
  <c r="L345" i="11" s="1"/>
  <c r="M347" i="11"/>
  <c r="M345" i="11" s="1"/>
  <c r="K359" i="11"/>
  <c r="K379" i="11"/>
  <c r="N404" i="11"/>
  <c r="N402" i="11" s="1"/>
  <c r="L43" i="10"/>
  <c r="L41" i="10" s="1"/>
  <c r="L121" i="11"/>
  <c r="O121" i="11" s="1"/>
  <c r="M135" i="11"/>
  <c r="P135" i="11" s="1"/>
  <c r="M138" i="11"/>
  <c r="P138" i="11" s="1"/>
  <c r="L36" i="10"/>
  <c r="O36" i="10" s="1"/>
  <c r="M43" i="11"/>
  <c r="M41" i="11" s="1"/>
  <c r="L56" i="11"/>
  <c r="N68" i="11"/>
  <c r="N66" i="11" s="1"/>
  <c r="L122" i="11"/>
  <c r="O122" i="11" s="1"/>
  <c r="O285" i="11"/>
  <c r="L330" i="11"/>
  <c r="L328" i="11" s="1"/>
  <c r="N347" i="11"/>
  <c r="N345" i="11" s="1"/>
  <c r="J537" i="11"/>
  <c r="J522" i="11" s="1"/>
  <c r="L687" i="11"/>
  <c r="O687" i="11" s="1"/>
  <c r="O186" i="10"/>
  <c r="M47" i="11"/>
  <c r="P47" i="11" s="1"/>
  <c r="N72" i="11"/>
  <c r="N94" i="11"/>
  <c r="I248" i="11"/>
  <c r="I226" i="11" s="1"/>
  <c r="K226" i="11" s="1"/>
  <c r="L249" i="11"/>
  <c r="O249" i="11" s="1"/>
  <c r="L348" i="11"/>
  <c r="K360" i="11"/>
  <c r="J364" i="11"/>
  <c r="O394" i="11"/>
  <c r="O690" i="11"/>
  <c r="J722" i="11"/>
  <c r="O333" i="10"/>
  <c r="L151" i="11"/>
  <c r="L149" i="11" s="1"/>
  <c r="K370" i="11"/>
  <c r="K381" i="11"/>
  <c r="L36" i="11"/>
  <c r="L34" i="11" s="1"/>
  <c r="O34" i="11" s="1"/>
  <c r="I442" i="11"/>
  <c r="K442" i="11" s="1"/>
  <c r="I559" i="11"/>
  <c r="K559" i="11" s="1"/>
  <c r="K649" i="11"/>
  <c r="K821" i="11"/>
  <c r="K824" i="11"/>
  <c r="K827" i="11"/>
  <c r="L632" i="7"/>
  <c r="O632" i="7" s="1"/>
  <c r="M187" i="11"/>
  <c r="P187" i="11" s="1"/>
  <c r="I86" i="10"/>
  <c r="K86" i="10" s="1"/>
  <c r="N318" i="10"/>
  <c r="O535" i="10"/>
  <c r="L687" i="10"/>
  <c r="O687" i="10" s="1"/>
  <c r="K725" i="10"/>
  <c r="L171" i="11"/>
  <c r="O171" i="11" s="1"/>
  <c r="K224" i="11"/>
  <c r="O266" i="11"/>
  <c r="L334" i="11"/>
  <c r="O334" i="11" s="1"/>
  <c r="N348" i="11"/>
  <c r="O350" i="11"/>
  <c r="K372" i="11"/>
  <c r="I434" i="11"/>
  <c r="O535" i="11"/>
  <c r="K538" i="11"/>
  <c r="L547" i="3"/>
  <c r="O547" i="3" s="1"/>
  <c r="M267" i="9"/>
  <c r="P267" i="9" s="1"/>
  <c r="M125" i="10"/>
  <c r="P125" i="10" s="1"/>
  <c r="M183" i="10"/>
  <c r="M181" i="10" s="1"/>
  <c r="K708" i="10"/>
  <c r="K729" i="10"/>
  <c r="L59" i="11"/>
  <c r="O59" i="11" s="1"/>
  <c r="P74" i="11"/>
  <c r="L125" i="11"/>
  <c r="O125" i="11" s="1"/>
  <c r="M151" i="11"/>
  <c r="M149" i="11" s="1"/>
  <c r="P157" i="11"/>
  <c r="M171" i="11"/>
  <c r="P171" i="11" s="1"/>
  <c r="O189" i="11"/>
  <c r="K215" i="11"/>
  <c r="K244" i="11"/>
  <c r="M263" i="11"/>
  <c r="O353" i="11"/>
  <c r="L395" i="11"/>
  <c r="O395" i="11" s="1"/>
  <c r="M408" i="11"/>
  <c r="P408" i="11" s="1"/>
  <c r="L469" i="11"/>
  <c r="L467" i="11" s="1"/>
  <c r="O467" i="11" s="1"/>
  <c r="I148" i="10"/>
  <c r="K148" i="10" s="1"/>
  <c r="M155" i="10"/>
  <c r="P155" i="10" s="1"/>
  <c r="M171" i="10"/>
  <c r="P171" i="10" s="1"/>
  <c r="L23" i="11"/>
  <c r="L21" i="11" s="1"/>
  <c r="M26" i="11"/>
  <c r="M24" i="11" s="1"/>
  <c r="L43" i="11"/>
  <c r="P127" i="11"/>
  <c r="L152" i="11"/>
  <c r="O152" i="11" s="1"/>
  <c r="L209" i="11"/>
  <c r="O209" i="11" s="1"/>
  <c r="I233" i="11"/>
  <c r="K233" i="11" s="1"/>
  <c r="N263" i="11"/>
  <c r="O303" i="11"/>
  <c r="L321" i="11"/>
  <c r="O321" i="11" s="1"/>
  <c r="O336" i="11"/>
  <c r="J327" i="11"/>
  <c r="K327" i="11" s="1"/>
  <c r="N351" i="11"/>
  <c r="O351" i="11" s="1"/>
  <c r="K378" i="11"/>
  <c r="L391" i="11"/>
  <c r="O410" i="11"/>
  <c r="L525" i="11"/>
  <c r="L523" i="11" s="1"/>
  <c r="O523" i="11" s="1"/>
  <c r="L547" i="11"/>
  <c r="O547" i="11" s="1"/>
  <c r="I434" i="10"/>
  <c r="K434" i="10" s="1"/>
  <c r="I130" i="11"/>
  <c r="K130" i="11" s="1"/>
  <c r="P336" i="11"/>
  <c r="I628" i="11"/>
  <c r="K628" i="11" s="1"/>
  <c r="K647" i="11"/>
  <c r="L657" i="11"/>
  <c r="O657" i="11" s="1"/>
  <c r="K823" i="11"/>
  <c r="K826" i="11"/>
  <c r="N392" i="11"/>
  <c r="L228" i="9"/>
  <c r="L68" i="10"/>
  <c r="O68" i="10" s="1"/>
  <c r="I143" i="10"/>
  <c r="I131" i="10" s="1"/>
  <c r="K131" i="10" s="1"/>
  <c r="N263" i="10"/>
  <c r="N261" i="10" s="1"/>
  <c r="K720" i="10"/>
  <c r="L33" i="11"/>
  <c r="N43" i="11"/>
  <c r="N41" i="11" s="1"/>
  <c r="L229" i="11"/>
  <c r="L264" i="11"/>
  <c r="O264" i="11" s="1"/>
  <c r="M280" i="11"/>
  <c r="P280" i="11" s="1"/>
  <c r="N279" i="11"/>
  <c r="N277" i="11" s="1"/>
  <c r="M330" i="11"/>
  <c r="K338" i="11"/>
  <c r="K369" i="11"/>
  <c r="K673" i="11"/>
  <c r="O12" i="11"/>
  <c r="J143" i="9"/>
  <c r="J131" i="9" s="1"/>
  <c r="L44" i="10"/>
  <c r="O44" i="10" s="1"/>
  <c r="M90" i="10"/>
  <c r="M88" i="10" s="1"/>
  <c r="I112" i="10"/>
  <c r="K112" i="10" s="1"/>
  <c r="M121" i="10"/>
  <c r="P121" i="10" s="1"/>
  <c r="K146" i="10"/>
  <c r="P170" i="10"/>
  <c r="L263" i="10"/>
  <c r="L261" i="10" s="1"/>
  <c r="L317" i="10"/>
  <c r="O317" i="10" s="1"/>
  <c r="L334" i="10"/>
  <c r="O334" i="10" s="1"/>
  <c r="J537" i="10"/>
  <c r="J522" i="10" s="1"/>
  <c r="K701" i="10"/>
  <c r="K822" i="10"/>
  <c r="K825" i="10"/>
  <c r="K828" i="10"/>
  <c r="N19" i="11"/>
  <c r="L26" i="11"/>
  <c r="P46" i="11"/>
  <c r="O49" i="11"/>
  <c r="L47" i="11"/>
  <c r="O47" i="11" s="1"/>
  <c r="M59" i="11"/>
  <c r="P59" i="11" s="1"/>
  <c r="P61" i="11"/>
  <c r="L69" i="11"/>
  <c r="O69" i="11" s="1"/>
  <c r="P71" i="11"/>
  <c r="M68" i="11"/>
  <c r="P68" i="11" s="1"/>
  <c r="I76" i="11"/>
  <c r="K79" i="11"/>
  <c r="I77" i="11"/>
  <c r="P96" i="11"/>
  <c r="M94" i="11"/>
  <c r="P94" i="11" s="1"/>
  <c r="N135" i="11"/>
  <c r="L138" i="11"/>
  <c r="O138" i="11" s="1"/>
  <c r="N151" i="11"/>
  <c r="K176" i="11"/>
  <c r="I174" i="11"/>
  <c r="K204" i="11"/>
  <c r="K237" i="11"/>
  <c r="M279" i="11"/>
  <c r="O316" i="11"/>
  <c r="O320" i="11"/>
  <c r="L317" i="11"/>
  <c r="O317" i="11" s="1"/>
  <c r="P323" i="11"/>
  <c r="P407" i="11"/>
  <c r="M405" i="11"/>
  <c r="P405" i="11" s="1"/>
  <c r="M122" i="11"/>
  <c r="P122" i="11" s="1"/>
  <c r="M121" i="11"/>
  <c r="L134" i="11"/>
  <c r="P166" i="11"/>
  <c r="N184" i="11"/>
  <c r="P184" i="11" s="1"/>
  <c r="N183" i="11"/>
  <c r="N181" i="11" s="1"/>
  <c r="N331" i="11"/>
  <c r="O333" i="11"/>
  <c r="K462" i="11"/>
  <c r="I443" i="11"/>
  <c r="K443" i="11" s="1"/>
  <c r="L69" i="10"/>
  <c r="O69" i="10" s="1"/>
  <c r="L72" i="10"/>
  <c r="O72" i="10" s="1"/>
  <c r="L134" i="10"/>
  <c r="O134" i="10" s="1"/>
  <c r="L138" i="10"/>
  <c r="O138" i="10" s="1"/>
  <c r="N167" i="10"/>
  <c r="L304" i="10"/>
  <c r="O304" i="10" s="1"/>
  <c r="K669" i="10"/>
  <c r="K726" i="10"/>
  <c r="I785" i="10"/>
  <c r="K785" i="10" s="1"/>
  <c r="K823" i="10"/>
  <c r="K826" i="10"/>
  <c r="N15" i="11"/>
  <c r="N23" i="11"/>
  <c r="O25" i="11"/>
  <c r="L15" i="11"/>
  <c r="N29" i="11"/>
  <c r="N26" i="11"/>
  <c r="N16" i="11" s="1"/>
  <c r="I86" i="11"/>
  <c r="K86" i="11" s="1"/>
  <c r="O89" i="11"/>
  <c r="L91" i="11"/>
  <c r="O91" i="11" s="1"/>
  <c r="L90" i="11"/>
  <c r="I143" i="11"/>
  <c r="M167" i="11"/>
  <c r="P186" i="11"/>
  <c r="O299" i="11"/>
  <c r="K309" i="11"/>
  <c r="O329" i="11"/>
  <c r="P333" i="11"/>
  <c r="K374" i="11"/>
  <c r="I364" i="11"/>
  <c r="I417" i="11"/>
  <c r="I148" i="9"/>
  <c r="K148" i="9" s="1"/>
  <c r="L279" i="9"/>
  <c r="O279" i="9" s="1"/>
  <c r="L283" i="9"/>
  <c r="O283" i="9" s="1"/>
  <c r="O91" i="10"/>
  <c r="I208" i="10"/>
  <c r="K208" i="10" s="1"/>
  <c r="L267" i="10"/>
  <c r="O267" i="10" s="1"/>
  <c r="L321" i="10"/>
  <c r="O321" i="10" s="1"/>
  <c r="L330" i="10"/>
  <c r="L328" i="10" s="1"/>
  <c r="P42" i="11"/>
  <c r="O46" i="11"/>
  <c r="L44" i="11"/>
  <c r="O44" i="11" s="1"/>
  <c r="I87" i="11"/>
  <c r="K87" i="11" s="1"/>
  <c r="M152" i="11"/>
  <c r="P152" i="11" s="1"/>
  <c r="P154" i="11"/>
  <c r="L167" i="11"/>
  <c r="O170" i="11"/>
  <c r="P419" i="11"/>
  <c r="N404" i="9"/>
  <c r="N402" i="9" s="1"/>
  <c r="K720" i="9"/>
  <c r="K825" i="9"/>
  <c r="N55" i="10"/>
  <c r="N53" i="10" s="1"/>
  <c r="P91" i="10"/>
  <c r="L187" i="10"/>
  <c r="O187" i="10" s="1"/>
  <c r="I190" i="10"/>
  <c r="K190" i="10" s="1"/>
  <c r="N279" i="10"/>
  <c r="N277" i="10" s="1"/>
  <c r="M408" i="10"/>
  <c r="P408" i="10" s="1"/>
  <c r="L477" i="10"/>
  <c r="O477" i="10" s="1"/>
  <c r="I628" i="10"/>
  <c r="K628" i="10" s="1"/>
  <c r="O690" i="10"/>
  <c r="P22" i="11"/>
  <c r="M19" i="11"/>
  <c r="M12" i="11"/>
  <c r="P33" i="11"/>
  <c r="M30" i="11"/>
  <c r="P30" i="11" s="1"/>
  <c r="P44" i="11"/>
  <c r="M23" i="11"/>
  <c r="M21" i="11" s="1"/>
  <c r="O54" i="11"/>
  <c r="N56" i="11"/>
  <c r="O58" i="11"/>
  <c r="N55" i="11"/>
  <c r="L68" i="11"/>
  <c r="O68" i="11" s="1"/>
  <c r="N121" i="11"/>
  <c r="N119" i="11" s="1"/>
  <c r="P124" i="11"/>
  <c r="P133" i="11"/>
  <c r="L135" i="11"/>
  <c r="O135" i="11" s="1"/>
  <c r="K144" i="11"/>
  <c r="J143" i="11"/>
  <c r="J131" i="11" s="1"/>
  <c r="L168" i="11"/>
  <c r="M183" i="11"/>
  <c r="L238" i="11"/>
  <c r="L228" i="11"/>
  <c r="K288" i="11"/>
  <c r="I275" i="11"/>
  <c r="K275" i="11" s="1"/>
  <c r="O306" i="11"/>
  <c r="L304" i="11"/>
  <c r="O304" i="11" s="1"/>
  <c r="M317" i="11"/>
  <c r="P346" i="11"/>
  <c r="K673" i="1"/>
  <c r="O168" i="9"/>
  <c r="N43" i="10"/>
  <c r="J722" i="10"/>
  <c r="K722" i="10" s="1"/>
  <c r="O19" i="11"/>
  <c r="O32" i="11"/>
  <c r="L29" i="11"/>
  <c r="N168" i="11"/>
  <c r="P168" i="11" s="1"/>
  <c r="N167" i="11"/>
  <c r="N165" i="11" s="1"/>
  <c r="L184" i="11"/>
  <c r="L183" i="11"/>
  <c r="O186" i="11"/>
  <c r="K271" i="11"/>
  <c r="I260" i="11"/>
  <c r="K260" i="11" s="1"/>
  <c r="P93" i="11"/>
  <c r="M134" i="11"/>
  <c r="P134" i="11" s="1"/>
  <c r="O346" i="11"/>
  <c r="P394" i="11"/>
  <c r="M392" i="11"/>
  <c r="P392" i="11" s="1"/>
  <c r="M391" i="11"/>
  <c r="P170" i="11"/>
  <c r="L198" i="11"/>
  <c r="O198" i="11" s="1"/>
  <c r="L280" i="11"/>
  <c r="O280" i="11" s="1"/>
  <c r="O282" i="11"/>
  <c r="P353" i="11"/>
  <c r="M351" i="11"/>
  <c r="O403" i="11"/>
  <c r="K435" i="11"/>
  <c r="J433" i="11"/>
  <c r="J417" i="11" s="1"/>
  <c r="L429" i="11"/>
  <c r="O429" i="11" s="1"/>
  <c r="O431" i="11"/>
  <c r="L421" i="11"/>
  <c r="M300" i="11"/>
  <c r="K340" i="11"/>
  <c r="K365" i="11"/>
  <c r="L404" i="11"/>
  <c r="O404" i="11" s="1"/>
  <c r="O407" i="11"/>
  <c r="M467" i="11"/>
  <c r="P467" i="11" s="1"/>
  <c r="P756" i="11"/>
  <c r="M754" i="11"/>
  <c r="P754" i="11" s="1"/>
  <c r="O755" i="11"/>
  <c r="L754" i="11"/>
  <c r="O754" i="11" s="1"/>
  <c r="L789" i="11"/>
  <c r="O789" i="11" s="1"/>
  <c r="O791" i="11"/>
  <c r="O807" i="11"/>
  <c r="L805" i="11"/>
  <c r="O805" i="11" s="1"/>
  <c r="L639" i="11"/>
  <c r="O639" i="11" s="1"/>
  <c r="O641" i="11"/>
  <c r="L631" i="11"/>
  <c r="P772" i="11"/>
  <c r="M770" i="11"/>
  <c r="P770" i="11" s="1"/>
  <c r="L454" i="11"/>
  <c r="O454" i="11" s="1"/>
  <c r="O456" i="11"/>
  <c r="L446" i="11"/>
  <c r="N655" i="11"/>
  <c r="O771" i="11"/>
  <c r="L770" i="11"/>
  <c r="O770" i="11" s="1"/>
  <c r="N807" i="11"/>
  <c r="N805" i="11" s="1"/>
  <c r="N808" i="11"/>
  <c r="O470" i="11"/>
  <c r="L526" i="11"/>
  <c r="O526" i="11" s="1"/>
  <c r="O528" i="11"/>
  <c r="P545" i="11"/>
  <c r="P739" i="11"/>
  <c r="M737" i="11"/>
  <c r="P737" i="11" s="1"/>
  <c r="P350" i="11"/>
  <c r="M348" i="11"/>
  <c r="N419" i="11"/>
  <c r="O472" i="11"/>
  <c r="N469" i="11"/>
  <c r="N467" i="11" s="1"/>
  <c r="O557" i="11"/>
  <c r="L546" i="11"/>
  <c r="L555" i="11"/>
  <c r="O555" i="11" s="1"/>
  <c r="K577" i="11"/>
  <c r="O738" i="11"/>
  <c r="L737" i="11"/>
  <c r="O737" i="11" s="1"/>
  <c r="L788" i="11"/>
  <c r="M395" i="11"/>
  <c r="P395" i="11" s="1"/>
  <c r="P468" i="11"/>
  <c r="P503" i="11"/>
  <c r="O656" i="11"/>
  <c r="K674" i="11"/>
  <c r="I654" i="11"/>
  <c r="K654" i="11" s="1"/>
  <c r="L658" i="11"/>
  <c r="O658" i="11" s="1"/>
  <c r="K675" i="11"/>
  <c r="N43" i="9"/>
  <c r="N41" i="9" s="1"/>
  <c r="K204" i="9"/>
  <c r="L47" i="10"/>
  <c r="O47" i="10" s="1"/>
  <c r="M151" i="10"/>
  <c r="P151" i="10" s="1"/>
  <c r="L183" i="10"/>
  <c r="L181" i="10" s="1"/>
  <c r="L198" i="10"/>
  <c r="O198" i="10" s="1"/>
  <c r="L217" i="10"/>
  <c r="O217" i="10" s="1"/>
  <c r="M283" i="10"/>
  <c r="P283" i="10" s="1"/>
  <c r="K539" i="10"/>
  <c r="I233" i="9"/>
  <c r="K233" i="9" s="1"/>
  <c r="M301" i="9"/>
  <c r="P301" i="9" s="1"/>
  <c r="M404" i="9"/>
  <c r="M152" i="10"/>
  <c r="P152" i="10" s="1"/>
  <c r="L184" i="10"/>
  <c r="O184" i="10" s="1"/>
  <c r="N183" i="10"/>
  <c r="N181" i="10" s="1"/>
  <c r="L229" i="10"/>
  <c r="M301" i="10"/>
  <c r="P301" i="10" s="1"/>
  <c r="J364" i="10"/>
  <c r="M405" i="10"/>
  <c r="P405" i="10" s="1"/>
  <c r="I442" i="10"/>
  <c r="K442" i="10" s="1"/>
  <c r="L171" i="9"/>
  <c r="O171" i="9" s="1"/>
  <c r="M334" i="9"/>
  <c r="P334" i="9" s="1"/>
  <c r="P407" i="9"/>
  <c r="K287" i="10"/>
  <c r="I297" i="10"/>
  <c r="K297" i="10" s="1"/>
  <c r="K338" i="10"/>
  <c r="K438" i="10"/>
  <c r="M151" i="8"/>
  <c r="P151" i="8" s="1"/>
  <c r="K708" i="8"/>
  <c r="O58" i="10"/>
  <c r="I77" i="10"/>
  <c r="I65" i="10" s="1"/>
  <c r="K65" i="10" s="1"/>
  <c r="P331" i="10"/>
  <c r="K340" i="10"/>
  <c r="L391" i="10"/>
  <c r="O391" i="10" s="1"/>
  <c r="L547" i="10"/>
  <c r="O547" i="10" s="1"/>
  <c r="K675" i="10"/>
  <c r="L209" i="9"/>
  <c r="O209" i="9" s="1"/>
  <c r="P71" i="10"/>
  <c r="L151" i="10"/>
  <c r="O151" i="10" s="1"/>
  <c r="O331" i="10"/>
  <c r="N330" i="10"/>
  <c r="N328" i="10" s="1"/>
  <c r="L392" i="10"/>
  <c r="O392" i="10" s="1"/>
  <c r="N47" i="10"/>
  <c r="L56" i="10"/>
  <c r="O56" i="10" s="1"/>
  <c r="M23" i="10"/>
  <c r="M13" i="10" s="1"/>
  <c r="L135" i="10"/>
  <c r="O135" i="10" s="1"/>
  <c r="K144" i="10"/>
  <c r="K244" i="10"/>
  <c r="L264" i="10"/>
  <c r="O264" i="10" s="1"/>
  <c r="I275" i="10"/>
  <c r="K275" i="10" s="1"/>
  <c r="K325" i="10"/>
  <c r="P336" i="10"/>
  <c r="L395" i="10"/>
  <c r="O395" i="10" s="1"/>
  <c r="N405" i="10"/>
  <c r="O449" i="10"/>
  <c r="O472" i="10"/>
  <c r="K537" i="10"/>
  <c r="M47" i="8"/>
  <c r="P47" i="8" s="1"/>
  <c r="M69" i="9"/>
  <c r="P69" i="9" s="1"/>
  <c r="L72" i="9"/>
  <c r="O72" i="9" s="1"/>
  <c r="L230" i="9"/>
  <c r="I522" i="9"/>
  <c r="K522" i="9" s="1"/>
  <c r="K723" i="9"/>
  <c r="J721" i="9"/>
  <c r="K721" i="9" s="1"/>
  <c r="N26" i="10"/>
  <c r="N16" i="10" s="1"/>
  <c r="N14" i="10" s="1"/>
  <c r="I76" i="10"/>
  <c r="K76" i="10" s="1"/>
  <c r="N151" i="10"/>
  <c r="N149" i="10" s="1"/>
  <c r="M168" i="10"/>
  <c r="P168" i="10" s="1"/>
  <c r="L238" i="10"/>
  <c r="O238" i="10" s="1"/>
  <c r="I260" i="10"/>
  <c r="K260" i="10" s="1"/>
  <c r="O266" i="10"/>
  <c r="O320" i="10"/>
  <c r="I559" i="10"/>
  <c r="K559" i="10" s="1"/>
  <c r="M138" i="9"/>
  <c r="P138" i="9" s="1"/>
  <c r="L231" i="9"/>
  <c r="N263" i="9"/>
  <c r="N261" i="9" s="1"/>
  <c r="L33" i="10"/>
  <c r="N68" i="10"/>
  <c r="N66" i="10" s="1"/>
  <c r="M279" i="8"/>
  <c r="M277" i="8" s="1"/>
  <c r="O93" i="9"/>
  <c r="J364" i="9"/>
  <c r="I592" i="9"/>
  <c r="K592" i="9" s="1"/>
  <c r="P44" i="10"/>
  <c r="N69" i="10"/>
  <c r="L230" i="10"/>
  <c r="M263" i="10"/>
  <c r="J288" i="10"/>
  <c r="J275" i="10" s="1"/>
  <c r="M321" i="10"/>
  <c r="P321" i="10" s="1"/>
  <c r="N391" i="10"/>
  <c r="N389" i="10" s="1"/>
  <c r="L469" i="10"/>
  <c r="O469" i="10" s="1"/>
  <c r="L657" i="10"/>
  <c r="O657" i="10" s="1"/>
  <c r="K673" i="10"/>
  <c r="K723" i="10"/>
  <c r="P186" i="9"/>
  <c r="I297" i="9"/>
  <c r="K297" i="9" s="1"/>
  <c r="M317" i="9"/>
  <c r="P317" i="9" s="1"/>
  <c r="K725" i="9"/>
  <c r="L167" i="10"/>
  <c r="N300" i="10"/>
  <c r="N298" i="10" s="1"/>
  <c r="K593" i="10"/>
  <c r="J721" i="10"/>
  <c r="K721" i="10" s="1"/>
  <c r="K821" i="10"/>
  <c r="K824" i="10"/>
  <c r="K827" i="10"/>
  <c r="O19" i="10"/>
  <c r="O390" i="10"/>
  <c r="P756" i="10"/>
  <c r="M754" i="10"/>
  <c r="P754" i="10" s="1"/>
  <c r="I785" i="7"/>
  <c r="K785" i="7" s="1"/>
  <c r="N151" i="5"/>
  <c r="N149" i="5" s="1"/>
  <c r="L330" i="6"/>
  <c r="L328" i="6" s="1"/>
  <c r="N279" i="7"/>
  <c r="N277" i="7" s="1"/>
  <c r="L547" i="7"/>
  <c r="O547" i="7" s="1"/>
  <c r="N55" i="8"/>
  <c r="N53" i="8" s="1"/>
  <c r="N183" i="8"/>
  <c r="N181" i="8" s="1"/>
  <c r="K729" i="8"/>
  <c r="M155" i="9"/>
  <c r="P155" i="9" s="1"/>
  <c r="I248" i="9"/>
  <c r="K248" i="9" s="1"/>
  <c r="N267" i="9"/>
  <c r="P333" i="9"/>
  <c r="L422" i="9"/>
  <c r="O422" i="9" s="1"/>
  <c r="P25" i="10"/>
  <c r="M15" i="10"/>
  <c r="L29" i="10"/>
  <c r="L55" i="10"/>
  <c r="L53" i="10" s="1"/>
  <c r="K79" i="10"/>
  <c r="O96" i="10"/>
  <c r="K99" i="10"/>
  <c r="L122" i="10"/>
  <c r="O122" i="10" s="1"/>
  <c r="M187" i="10"/>
  <c r="P187" i="10" s="1"/>
  <c r="P189" i="10"/>
  <c r="I364" i="10"/>
  <c r="K364" i="10" s="1"/>
  <c r="O403" i="10"/>
  <c r="J433" i="10"/>
  <c r="J417" i="10" s="1"/>
  <c r="K435" i="10"/>
  <c r="I433" i="10"/>
  <c r="M502" i="10"/>
  <c r="P502" i="10" s="1"/>
  <c r="P503" i="10"/>
  <c r="M30" i="10"/>
  <c r="P30" i="10" s="1"/>
  <c r="M155" i="8"/>
  <c r="P155" i="8" s="1"/>
  <c r="O56" i="9"/>
  <c r="L69" i="9"/>
  <c r="O69" i="9" s="1"/>
  <c r="I190" i="9"/>
  <c r="K190" i="9" s="1"/>
  <c r="N330" i="9"/>
  <c r="N328" i="9" s="1"/>
  <c r="N29" i="10"/>
  <c r="N28" i="10" s="1"/>
  <c r="P32" i="10"/>
  <c r="M29" i="10"/>
  <c r="M43" i="10"/>
  <c r="N23" i="10"/>
  <c r="M55" i="10"/>
  <c r="P58" i="10"/>
  <c r="L90" i="10"/>
  <c r="K100" i="10"/>
  <c r="N134" i="10"/>
  <c r="N132" i="10" s="1"/>
  <c r="P329" i="10"/>
  <c r="M444" i="10"/>
  <c r="P444" i="10" s="1"/>
  <c r="K462" i="10"/>
  <c r="I443" i="10"/>
  <c r="K443" i="10" s="1"/>
  <c r="L228" i="8"/>
  <c r="L55" i="9"/>
  <c r="L53" i="9" s="1"/>
  <c r="L94" i="9"/>
  <c r="O94" i="9" s="1"/>
  <c r="L347" i="9"/>
  <c r="L345" i="9" s="1"/>
  <c r="O25" i="10"/>
  <c r="P49" i="10"/>
  <c r="O93" i="10"/>
  <c r="L121" i="10"/>
  <c r="P140" i="10"/>
  <c r="M138" i="10"/>
  <c r="P138" i="10" s="1"/>
  <c r="L152" i="10"/>
  <c r="O152" i="10" s="1"/>
  <c r="O154" i="10"/>
  <c r="L168" i="10"/>
  <c r="O168" i="10" s="1"/>
  <c r="O170" i="10"/>
  <c r="O182" i="10"/>
  <c r="K204" i="10"/>
  <c r="I197" i="10"/>
  <c r="K197" i="10" s="1"/>
  <c r="P320" i="10"/>
  <c r="M317" i="10"/>
  <c r="M56" i="10"/>
  <c r="P56" i="10" s="1"/>
  <c r="M72" i="9"/>
  <c r="P72" i="9" s="1"/>
  <c r="N68" i="9"/>
  <c r="N66" i="9" s="1"/>
  <c r="P168" i="9"/>
  <c r="P170" i="9"/>
  <c r="K244" i="9"/>
  <c r="L304" i="9"/>
  <c r="O304" i="9" s="1"/>
  <c r="L391" i="9"/>
  <c r="O391" i="9" s="1"/>
  <c r="I628" i="9"/>
  <c r="K628" i="9" s="1"/>
  <c r="M12" i="10"/>
  <c r="L15" i="10"/>
  <c r="L23" i="10"/>
  <c r="L21" i="10" s="1"/>
  <c r="L26" i="10"/>
  <c r="M31" i="10"/>
  <c r="P31" i="10" s="1"/>
  <c r="M34" i="10"/>
  <c r="P34" i="10" s="1"/>
  <c r="P46" i="10"/>
  <c r="M68" i="10"/>
  <c r="P68" i="10" s="1"/>
  <c r="N90" i="10"/>
  <c r="P93" i="10"/>
  <c r="K115" i="10"/>
  <c r="L125" i="10"/>
  <c r="O125" i="10" s="1"/>
  <c r="P166" i="10"/>
  <c r="I174" i="10"/>
  <c r="K176" i="10"/>
  <c r="I216" i="10"/>
  <c r="K216" i="10" s="1"/>
  <c r="L283" i="10"/>
  <c r="O283" i="10" s="1"/>
  <c r="O285" i="10"/>
  <c r="L279" i="10"/>
  <c r="N351" i="10"/>
  <c r="O351" i="10" s="1"/>
  <c r="O353" i="10"/>
  <c r="M419" i="10"/>
  <c r="P420" i="10"/>
  <c r="O468" i="10"/>
  <c r="N134" i="9"/>
  <c r="N132" i="9" s="1"/>
  <c r="O266" i="9"/>
  <c r="M391" i="9"/>
  <c r="P391" i="9" s="1"/>
  <c r="L525" i="9"/>
  <c r="O525" i="9" s="1"/>
  <c r="I559" i="9"/>
  <c r="K559" i="9" s="1"/>
  <c r="N12" i="10"/>
  <c r="M26" i="10"/>
  <c r="O35" i="10"/>
  <c r="P74" i="10"/>
  <c r="K87" i="10"/>
  <c r="N121" i="10"/>
  <c r="N119" i="10" s="1"/>
  <c r="P137" i="10"/>
  <c r="M135" i="10"/>
  <c r="P135" i="10" s="1"/>
  <c r="L155" i="10"/>
  <c r="O155" i="10" s="1"/>
  <c r="O157" i="10"/>
  <c r="L171" i="10"/>
  <c r="O171" i="10" s="1"/>
  <c r="O173" i="10"/>
  <c r="M184" i="10"/>
  <c r="P184" i="10" s="1"/>
  <c r="P186" i="10"/>
  <c r="L209" i="10"/>
  <c r="O209" i="10" s="1"/>
  <c r="K236" i="10"/>
  <c r="L228" i="10"/>
  <c r="L249" i="10"/>
  <c r="O249" i="10" s="1"/>
  <c r="P299" i="10"/>
  <c r="O262" i="10"/>
  <c r="P266" i="10"/>
  <c r="P269" i="10"/>
  <c r="P278" i="10"/>
  <c r="M280" i="10"/>
  <c r="P280" i="10" s="1"/>
  <c r="N283" i="10"/>
  <c r="L301" i="10"/>
  <c r="O301" i="10" s="1"/>
  <c r="M304" i="10"/>
  <c r="P304" i="10" s="1"/>
  <c r="P333" i="10"/>
  <c r="J327" i="10"/>
  <c r="K327" i="10" s="1"/>
  <c r="N348" i="10"/>
  <c r="P350" i="10"/>
  <c r="M348" i="10"/>
  <c r="P397" i="10"/>
  <c r="M395" i="10"/>
  <c r="P395" i="10" s="1"/>
  <c r="N419" i="10"/>
  <c r="M467" i="10"/>
  <c r="P467" i="10" s="1"/>
  <c r="P468" i="10"/>
  <c r="M545" i="10"/>
  <c r="O688" i="10"/>
  <c r="O755" i="10"/>
  <c r="L754" i="10"/>
  <c r="O754" i="10" s="1"/>
  <c r="L789" i="10"/>
  <c r="O789" i="10" s="1"/>
  <c r="O791" i="10"/>
  <c r="O807" i="10"/>
  <c r="L805" i="10"/>
  <c r="O805" i="10" s="1"/>
  <c r="L454" i="10"/>
  <c r="O454" i="10" s="1"/>
  <c r="O456" i="10"/>
  <c r="L446" i="10"/>
  <c r="O446" i="10" s="1"/>
  <c r="P772" i="10"/>
  <c r="M770" i="10"/>
  <c r="P770" i="10" s="1"/>
  <c r="M279" i="10"/>
  <c r="P279" i="10" s="1"/>
  <c r="L300" i="10"/>
  <c r="O300" i="10" s="1"/>
  <c r="N301" i="10"/>
  <c r="N347" i="10"/>
  <c r="P394" i="10"/>
  <c r="M392" i="10"/>
  <c r="P392" i="10" s="1"/>
  <c r="O424" i="10"/>
  <c r="L526" i="10"/>
  <c r="O526" i="10" s="1"/>
  <c r="O528" i="10"/>
  <c r="O771" i="10"/>
  <c r="L770" i="10"/>
  <c r="O770" i="10" s="1"/>
  <c r="N807" i="10"/>
  <c r="N808" i="10"/>
  <c r="M300" i="10"/>
  <c r="P300" i="10" s="1"/>
  <c r="L404" i="10"/>
  <c r="O404" i="10" s="1"/>
  <c r="N444" i="10"/>
  <c r="O557" i="10"/>
  <c r="L546" i="10"/>
  <c r="L555" i="10"/>
  <c r="O555" i="10" s="1"/>
  <c r="L639" i="10"/>
  <c r="O639" i="10" s="1"/>
  <c r="O641" i="10"/>
  <c r="L631" i="10"/>
  <c r="P739" i="10"/>
  <c r="M737" i="10"/>
  <c r="P737" i="10" s="1"/>
  <c r="I233" i="10"/>
  <c r="K233" i="10" s="1"/>
  <c r="I248" i="10"/>
  <c r="M330" i="10"/>
  <c r="P353" i="10"/>
  <c r="M351" i="10"/>
  <c r="M391" i="10"/>
  <c r="M404" i="10"/>
  <c r="L429" i="10"/>
  <c r="O429" i="10" s="1"/>
  <c r="O431" i="10"/>
  <c r="L421" i="10"/>
  <c r="L525" i="10"/>
  <c r="N655" i="10"/>
  <c r="K728" i="10"/>
  <c r="O738" i="10"/>
  <c r="L737" i="10"/>
  <c r="O737" i="10" s="1"/>
  <c r="O788" i="10"/>
  <c r="L786" i="10"/>
  <c r="O786" i="10" s="1"/>
  <c r="N805" i="10"/>
  <c r="O656" i="10"/>
  <c r="K674" i="10"/>
  <c r="I654" i="10"/>
  <c r="K654" i="10" s="1"/>
  <c r="L658" i="10"/>
  <c r="O658" i="10" s="1"/>
  <c r="O410" i="9"/>
  <c r="L408" i="9"/>
  <c r="O408" i="9" s="1"/>
  <c r="L404" i="9"/>
  <c r="O404" i="9" s="1"/>
  <c r="N68" i="8"/>
  <c r="N66" i="8" s="1"/>
  <c r="L687" i="8"/>
  <c r="L685" i="8" s="1"/>
  <c r="N44" i="9"/>
  <c r="O44" i="9" s="1"/>
  <c r="O61" i="9"/>
  <c r="N138" i="9"/>
  <c r="I143" i="9"/>
  <c r="K146" i="9"/>
  <c r="L151" i="9"/>
  <c r="O151" i="9" s="1"/>
  <c r="N167" i="9"/>
  <c r="N165" i="9" s="1"/>
  <c r="P266" i="9"/>
  <c r="M279" i="9"/>
  <c r="P279" i="9" s="1"/>
  <c r="O348" i="9"/>
  <c r="O449" i="9"/>
  <c r="L447" i="9"/>
  <c r="O447" i="9" s="1"/>
  <c r="L391" i="8"/>
  <c r="O391" i="8" s="1"/>
  <c r="P397" i="8"/>
  <c r="I443" i="8"/>
  <c r="K443" i="8" s="1"/>
  <c r="M122" i="9"/>
  <c r="P122" i="9" s="1"/>
  <c r="M167" i="9"/>
  <c r="M165" i="9" s="1"/>
  <c r="M280" i="9"/>
  <c r="P280" i="9" s="1"/>
  <c r="N283" i="9"/>
  <c r="N279" i="9"/>
  <c r="N277" i="9" s="1"/>
  <c r="O323" i="9"/>
  <c r="L321" i="9"/>
  <c r="O321" i="9" s="1"/>
  <c r="P350" i="8"/>
  <c r="L392" i="8"/>
  <c r="O392" i="8" s="1"/>
  <c r="O157" i="9"/>
  <c r="O303" i="9"/>
  <c r="L301" i="9"/>
  <c r="O301" i="9" s="1"/>
  <c r="I434" i="9"/>
  <c r="K434" i="9" s="1"/>
  <c r="K440" i="9"/>
  <c r="O479" i="9"/>
  <c r="L477" i="9"/>
  <c r="O477" i="9" s="1"/>
  <c r="L135" i="9"/>
  <c r="O135" i="9" s="1"/>
  <c r="L300" i="9"/>
  <c r="O300" i="9" s="1"/>
  <c r="N317" i="9"/>
  <c r="N315" i="9" s="1"/>
  <c r="N318" i="9"/>
  <c r="I433" i="9"/>
  <c r="I417" i="9" s="1"/>
  <c r="J433" i="9"/>
  <c r="J417" i="9" s="1"/>
  <c r="K651" i="8"/>
  <c r="K720" i="8"/>
  <c r="K728" i="8"/>
  <c r="P46" i="9"/>
  <c r="P93" i="9"/>
  <c r="M90" i="9"/>
  <c r="M88" i="9" s="1"/>
  <c r="L138" i="9"/>
  <c r="O138" i="9" s="1"/>
  <c r="M264" i="9"/>
  <c r="P264" i="9" s="1"/>
  <c r="I260" i="9"/>
  <c r="K260" i="9" s="1"/>
  <c r="K271" i="9"/>
  <c r="P306" i="9"/>
  <c r="M304" i="9"/>
  <c r="P304" i="9" s="1"/>
  <c r="M283" i="9"/>
  <c r="P283" i="9" s="1"/>
  <c r="N300" i="9"/>
  <c r="N298" i="9" s="1"/>
  <c r="N347" i="9"/>
  <c r="N345" i="9" s="1"/>
  <c r="O407" i="9"/>
  <c r="L36" i="9"/>
  <c r="L34" i="9" s="1"/>
  <c r="O34" i="9" s="1"/>
  <c r="L687" i="9"/>
  <c r="O687" i="9" s="1"/>
  <c r="O690" i="9"/>
  <c r="K826" i="9"/>
  <c r="L632" i="9"/>
  <c r="O632" i="9" s="1"/>
  <c r="K824" i="9"/>
  <c r="L317" i="9"/>
  <c r="O317" i="9" s="1"/>
  <c r="O350" i="9"/>
  <c r="L392" i="9"/>
  <c r="O392" i="9" s="1"/>
  <c r="L470" i="9"/>
  <c r="O470" i="9" s="1"/>
  <c r="L533" i="9"/>
  <c r="O533" i="9" s="1"/>
  <c r="O549" i="9"/>
  <c r="P350" i="9"/>
  <c r="M392" i="9"/>
  <c r="P392" i="9" s="1"/>
  <c r="L395" i="9"/>
  <c r="O395" i="9" s="1"/>
  <c r="L546" i="9"/>
  <c r="L544" i="9" s="1"/>
  <c r="O544" i="9" s="1"/>
  <c r="K726" i="9"/>
  <c r="K673" i="9"/>
  <c r="L134" i="6"/>
  <c r="L132" i="6" s="1"/>
  <c r="O132" i="6" s="1"/>
  <c r="M317" i="7"/>
  <c r="P317" i="7" s="1"/>
  <c r="M183" i="8"/>
  <c r="M181" i="8" s="1"/>
  <c r="L231" i="8"/>
  <c r="L279" i="8"/>
  <c r="L277" i="8" s="1"/>
  <c r="L347" i="8"/>
  <c r="L345" i="8" s="1"/>
  <c r="I86" i="9"/>
  <c r="K86" i="9" s="1"/>
  <c r="L91" i="9"/>
  <c r="O91" i="9" s="1"/>
  <c r="L134" i="9"/>
  <c r="O134" i="9" s="1"/>
  <c r="K144" i="9"/>
  <c r="M151" i="9"/>
  <c r="M149" i="9" s="1"/>
  <c r="P149" i="9" s="1"/>
  <c r="M171" i="9"/>
  <c r="P171" i="9" s="1"/>
  <c r="K224" i="9"/>
  <c r="L249" i="9"/>
  <c r="O249" i="9" s="1"/>
  <c r="I275" i="9"/>
  <c r="K275" i="9" s="1"/>
  <c r="M300" i="9"/>
  <c r="O320" i="9"/>
  <c r="M331" i="9"/>
  <c r="P331" i="9" s="1"/>
  <c r="J327" i="9"/>
  <c r="K327" i="9" s="1"/>
  <c r="M348" i="9"/>
  <c r="P348" i="9" s="1"/>
  <c r="O353" i="9"/>
  <c r="I364" i="9"/>
  <c r="K364" i="9" s="1"/>
  <c r="N391" i="9"/>
  <c r="N389" i="9" s="1"/>
  <c r="O535" i="9"/>
  <c r="K674" i="9"/>
  <c r="K822" i="9"/>
  <c r="K828" i="9"/>
  <c r="M304" i="5"/>
  <c r="P304" i="5" s="1"/>
  <c r="N279" i="6"/>
  <c r="N277" i="6" s="1"/>
  <c r="M55" i="7"/>
  <c r="M53" i="7" s="1"/>
  <c r="M135" i="7"/>
  <c r="P135" i="7" s="1"/>
  <c r="L230" i="7"/>
  <c r="M318" i="7"/>
  <c r="P318" i="7" s="1"/>
  <c r="L33" i="9"/>
  <c r="O46" i="9"/>
  <c r="L68" i="9"/>
  <c r="O68" i="9" s="1"/>
  <c r="O154" i="9"/>
  <c r="O184" i="9"/>
  <c r="L217" i="9"/>
  <c r="O217" i="9" s="1"/>
  <c r="I237" i="9"/>
  <c r="O264" i="9"/>
  <c r="L280" i="9"/>
  <c r="O280" i="9" s="1"/>
  <c r="I314" i="9"/>
  <c r="K314" i="9" s="1"/>
  <c r="P353" i="9"/>
  <c r="P410" i="9"/>
  <c r="I443" i="9"/>
  <c r="K443" i="9" s="1"/>
  <c r="O660" i="9"/>
  <c r="K669" i="9"/>
  <c r="K823" i="9"/>
  <c r="M43" i="7"/>
  <c r="N68" i="7"/>
  <c r="N66" i="7" s="1"/>
  <c r="N90" i="7"/>
  <c r="N88" i="7" s="1"/>
  <c r="M68" i="9"/>
  <c r="P68" i="9" s="1"/>
  <c r="O269" i="9"/>
  <c r="L657" i="9"/>
  <c r="O657" i="9" s="1"/>
  <c r="N43" i="7"/>
  <c r="N41" i="7" s="1"/>
  <c r="L330" i="8"/>
  <c r="L328" i="8" s="1"/>
  <c r="I592" i="8"/>
  <c r="K592" i="8" s="1"/>
  <c r="I785" i="8"/>
  <c r="K785" i="8" s="1"/>
  <c r="K828" i="8"/>
  <c r="M44" i="9"/>
  <c r="L26" i="9"/>
  <c r="L24" i="9" s="1"/>
  <c r="P56" i="9"/>
  <c r="M94" i="9"/>
  <c r="P94" i="9" s="1"/>
  <c r="N90" i="9"/>
  <c r="N88" i="9" s="1"/>
  <c r="K111" i="9"/>
  <c r="N121" i="9"/>
  <c r="N119" i="9" s="1"/>
  <c r="M135" i="9"/>
  <c r="P135" i="9" s="1"/>
  <c r="M184" i="9"/>
  <c r="P184" i="9" s="1"/>
  <c r="N183" i="9"/>
  <c r="N181" i="9" s="1"/>
  <c r="L198" i="9"/>
  <c r="O198" i="9" s="1"/>
  <c r="I208" i="9"/>
  <c r="K208" i="9" s="1"/>
  <c r="L263" i="9"/>
  <c r="M347" i="9"/>
  <c r="M345" i="9" s="1"/>
  <c r="N351" i="9"/>
  <c r="P351" i="9" s="1"/>
  <c r="K435" i="9"/>
  <c r="K821" i="9"/>
  <c r="K827" i="9"/>
  <c r="P58" i="8"/>
  <c r="L94" i="8"/>
  <c r="O94" i="8" s="1"/>
  <c r="K379" i="8"/>
  <c r="L36" i="8"/>
  <c r="O36" i="8" s="1"/>
  <c r="M26" i="9"/>
  <c r="M16" i="9" s="1"/>
  <c r="M14" i="9" s="1"/>
  <c r="N23" i="9"/>
  <c r="N13" i="9" s="1"/>
  <c r="M330" i="9"/>
  <c r="K340" i="9"/>
  <c r="M395" i="9"/>
  <c r="P395" i="9" s="1"/>
  <c r="J537" i="9"/>
  <c r="J522" i="9" s="1"/>
  <c r="P19" i="9"/>
  <c r="P15" i="9"/>
  <c r="N347" i="7"/>
  <c r="N345" i="7" s="1"/>
  <c r="K360" i="7"/>
  <c r="M90" i="8"/>
  <c r="M88" i="8" s="1"/>
  <c r="I148" i="8"/>
  <c r="K148" i="8" s="1"/>
  <c r="L167" i="8"/>
  <c r="O167" i="8" s="1"/>
  <c r="K244" i="8"/>
  <c r="M263" i="8"/>
  <c r="P263" i="8" s="1"/>
  <c r="M317" i="8"/>
  <c r="P317" i="8" s="1"/>
  <c r="L43" i="9"/>
  <c r="M55" i="9"/>
  <c r="L121" i="9"/>
  <c r="M134" i="9"/>
  <c r="N151" i="9"/>
  <c r="N149" i="9" s="1"/>
  <c r="L183" i="9"/>
  <c r="O316" i="9"/>
  <c r="L334" i="9"/>
  <c r="O334" i="9" s="1"/>
  <c r="N348" i="7"/>
  <c r="O348" i="7" s="1"/>
  <c r="I559" i="7"/>
  <c r="I543" i="7" s="1"/>
  <c r="K543" i="7" s="1"/>
  <c r="L121" i="8"/>
  <c r="O121" i="8" s="1"/>
  <c r="M135" i="8"/>
  <c r="P135" i="8" s="1"/>
  <c r="O140" i="8"/>
  <c r="P154" i="8"/>
  <c r="M187" i="8"/>
  <c r="P187" i="8" s="1"/>
  <c r="I260" i="8"/>
  <c r="K260" i="8" s="1"/>
  <c r="N263" i="8"/>
  <c r="N261" i="8" s="1"/>
  <c r="M318" i="8"/>
  <c r="P318" i="8" s="1"/>
  <c r="I442" i="8"/>
  <c r="K442" i="8" s="1"/>
  <c r="L23" i="9"/>
  <c r="N29" i="9"/>
  <c r="N28" i="9" s="1"/>
  <c r="M43" i="9"/>
  <c r="O49" i="9"/>
  <c r="N55" i="9"/>
  <c r="N53" i="9" s="1"/>
  <c r="O58" i="9"/>
  <c r="P61" i="9"/>
  <c r="I76" i="9"/>
  <c r="P91" i="9"/>
  <c r="P96" i="9"/>
  <c r="K99" i="9"/>
  <c r="I112" i="9"/>
  <c r="K112" i="9" s="1"/>
  <c r="M121" i="9"/>
  <c r="O127" i="9"/>
  <c r="P154" i="9"/>
  <c r="O170" i="9"/>
  <c r="M183" i="9"/>
  <c r="O189" i="9"/>
  <c r="N391" i="7"/>
  <c r="N389" i="7" s="1"/>
  <c r="M23" i="8"/>
  <c r="M21" i="8" s="1"/>
  <c r="L55" i="8"/>
  <c r="L53" i="8" s="1"/>
  <c r="P61" i="8"/>
  <c r="L68" i="8"/>
  <c r="O68" i="8" s="1"/>
  <c r="P74" i="8"/>
  <c r="O124" i="8"/>
  <c r="N167" i="8"/>
  <c r="N165" i="8" s="1"/>
  <c r="M321" i="8"/>
  <c r="P321" i="8" s="1"/>
  <c r="J327" i="8"/>
  <c r="K327" i="8" s="1"/>
  <c r="K385" i="8"/>
  <c r="M12" i="9"/>
  <c r="M23" i="9"/>
  <c r="P25" i="9"/>
  <c r="M28" i="9"/>
  <c r="P28" i="9" s="1"/>
  <c r="P49" i="9"/>
  <c r="P58" i="9"/>
  <c r="O67" i="9"/>
  <c r="K79" i="9"/>
  <c r="I77" i="9"/>
  <c r="L90" i="9"/>
  <c r="O124" i="9"/>
  <c r="P127" i="9"/>
  <c r="P173" i="9"/>
  <c r="O186" i="9"/>
  <c r="K287" i="9"/>
  <c r="I276" i="9"/>
  <c r="K276" i="9" s="1"/>
  <c r="L330" i="9"/>
  <c r="J722" i="9"/>
  <c r="K722" i="9" s="1"/>
  <c r="K728" i="9"/>
  <c r="O738" i="9"/>
  <c r="L737" i="9"/>
  <c r="O737" i="9" s="1"/>
  <c r="L138" i="7"/>
  <c r="O138" i="7" s="1"/>
  <c r="K385" i="7"/>
  <c r="N43" i="8"/>
  <c r="N41" i="8" s="1"/>
  <c r="N151" i="8"/>
  <c r="N149" i="8" s="1"/>
  <c r="K701" i="8"/>
  <c r="N12" i="9"/>
  <c r="O22" i="9"/>
  <c r="L19" i="9"/>
  <c r="L12" i="9"/>
  <c r="O133" i="9"/>
  <c r="L167" i="9"/>
  <c r="I174" i="9"/>
  <c r="L238" i="9"/>
  <c r="M321" i="9"/>
  <c r="P321" i="9" s="1"/>
  <c r="P323" i="9"/>
  <c r="O333" i="9"/>
  <c r="L331" i="9"/>
  <c r="O331" i="9" s="1"/>
  <c r="I233" i="8"/>
  <c r="K233" i="8" s="1"/>
  <c r="N26" i="9"/>
  <c r="N16" i="9" s="1"/>
  <c r="M187" i="9"/>
  <c r="P187" i="9" s="1"/>
  <c r="J226" i="9"/>
  <c r="J180" i="9" s="1"/>
  <c r="P316" i="9"/>
  <c r="M318" i="9"/>
  <c r="P318" i="9" s="1"/>
  <c r="P320" i="9"/>
  <c r="L526" i="9"/>
  <c r="O526" i="9" s="1"/>
  <c r="O528" i="9"/>
  <c r="P545" i="9"/>
  <c r="M544" i="9"/>
  <c r="P544" i="9" s="1"/>
  <c r="O755" i="9"/>
  <c r="L754" i="9"/>
  <c r="O754" i="9" s="1"/>
  <c r="N807" i="9"/>
  <c r="N805" i="9" s="1"/>
  <c r="N808" i="9"/>
  <c r="L454" i="9"/>
  <c r="O454" i="9" s="1"/>
  <c r="O456" i="9"/>
  <c r="L446" i="9"/>
  <c r="O446" i="9" s="1"/>
  <c r="N544" i="9"/>
  <c r="L639" i="9"/>
  <c r="O639" i="9" s="1"/>
  <c r="O641" i="9"/>
  <c r="L631" i="9"/>
  <c r="O771" i="9"/>
  <c r="L770" i="9"/>
  <c r="O770" i="9" s="1"/>
  <c r="L789" i="9"/>
  <c r="O789" i="9" s="1"/>
  <c r="O791" i="9"/>
  <c r="K338" i="9"/>
  <c r="L429" i="9"/>
  <c r="O429" i="9" s="1"/>
  <c r="O431" i="9"/>
  <c r="L421" i="9"/>
  <c r="L469" i="9"/>
  <c r="I654" i="9"/>
  <c r="K654" i="9" s="1"/>
  <c r="M737" i="9"/>
  <c r="P737" i="9" s="1"/>
  <c r="M754" i="9"/>
  <c r="P754" i="9" s="1"/>
  <c r="M770" i="9"/>
  <c r="P770" i="9" s="1"/>
  <c r="L786" i="9"/>
  <c r="O786" i="9" s="1"/>
  <c r="L805" i="9"/>
  <c r="O805" i="9" s="1"/>
  <c r="I442" i="9"/>
  <c r="K442" i="9" s="1"/>
  <c r="M523" i="9"/>
  <c r="P523" i="9" s="1"/>
  <c r="K675" i="9"/>
  <c r="M685" i="9"/>
  <c r="P685" i="9" s="1"/>
  <c r="M786" i="9"/>
  <c r="P786" i="9" s="1"/>
  <c r="K800" i="9"/>
  <c r="M805" i="9"/>
  <c r="P805" i="9" s="1"/>
  <c r="J288" i="9"/>
  <c r="J275" i="9" s="1"/>
  <c r="M183" i="6"/>
  <c r="M181" i="6" s="1"/>
  <c r="M56" i="8"/>
  <c r="L90" i="8"/>
  <c r="L88" i="8" s="1"/>
  <c r="I112" i="8"/>
  <c r="K112" i="8" s="1"/>
  <c r="M122" i="8"/>
  <c r="P122" i="8" s="1"/>
  <c r="N121" i="8"/>
  <c r="N119" i="8" s="1"/>
  <c r="L134" i="8"/>
  <c r="O134" i="8" s="1"/>
  <c r="L209" i="8"/>
  <c r="O209" i="8" s="1"/>
  <c r="M300" i="8"/>
  <c r="M298" i="8" s="1"/>
  <c r="K325" i="8"/>
  <c r="M330" i="8"/>
  <c r="M328" i="8" s="1"/>
  <c r="I522" i="8"/>
  <c r="K522" i="8" s="1"/>
  <c r="K723" i="8"/>
  <c r="J721" i="8"/>
  <c r="K721" i="8" s="1"/>
  <c r="I276" i="5"/>
  <c r="K276" i="5" s="1"/>
  <c r="M47" i="7"/>
  <c r="P47" i="7" s="1"/>
  <c r="M44" i="8"/>
  <c r="N56" i="8"/>
  <c r="O56" i="8" s="1"/>
  <c r="N134" i="8"/>
  <c r="N132" i="8" s="1"/>
  <c r="L238" i="8"/>
  <c r="O238" i="8" s="1"/>
  <c r="L280" i="8"/>
  <c r="O280" i="8" s="1"/>
  <c r="M304" i="8"/>
  <c r="P304" i="8" s="1"/>
  <c r="L331" i="8"/>
  <c r="L334" i="8"/>
  <c r="O334" i="8" s="1"/>
  <c r="P336" i="8"/>
  <c r="L69" i="7"/>
  <c r="O69" i="7" s="1"/>
  <c r="O350" i="7"/>
  <c r="O137" i="8"/>
  <c r="L230" i="8"/>
  <c r="M264" i="8"/>
  <c r="P264" i="8" s="1"/>
  <c r="I364" i="8"/>
  <c r="M404" i="8"/>
  <c r="P404" i="8" s="1"/>
  <c r="K826" i="8"/>
  <c r="L533" i="7"/>
  <c r="O533" i="7" s="1"/>
  <c r="L33" i="8"/>
  <c r="O33" i="8" s="1"/>
  <c r="M69" i="8"/>
  <c r="P69" i="8" s="1"/>
  <c r="M167" i="8"/>
  <c r="P167" i="8" s="1"/>
  <c r="M267" i="8"/>
  <c r="P267" i="8" s="1"/>
  <c r="N404" i="8"/>
  <c r="N402" i="8" s="1"/>
  <c r="K827" i="8"/>
  <c r="K362" i="5"/>
  <c r="K385" i="5"/>
  <c r="N69" i="8"/>
  <c r="M152" i="8"/>
  <c r="P152" i="8" s="1"/>
  <c r="N168" i="8"/>
  <c r="K255" i="8"/>
  <c r="N391" i="8"/>
  <c r="N389" i="8" s="1"/>
  <c r="L392" i="7"/>
  <c r="O392" i="7" s="1"/>
  <c r="I174" i="8"/>
  <c r="K174" i="8" s="1"/>
  <c r="I197" i="8"/>
  <c r="K197" i="8" s="1"/>
  <c r="I208" i="8"/>
  <c r="K208" i="8" s="1"/>
  <c r="N279" i="8"/>
  <c r="N330" i="8"/>
  <c r="N328" i="8" s="1"/>
  <c r="M347" i="8"/>
  <c r="M345" i="8" s="1"/>
  <c r="L469" i="8"/>
  <c r="O469" i="8" s="1"/>
  <c r="O407" i="7"/>
  <c r="N44" i="8"/>
  <c r="O44" i="8" s="1"/>
  <c r="P46" i="8"/>
  <c r="L26" i="8"/>
  <c r="L24" i="8" s="1"/>
  <c r="N26" i="8"/>
  <c r="N16" i="8" s="1"/>
  <c r="N14" i="8" s="1"/>
  <c r="N125" i="8"/>
  <c r="O127" i="8"/>
  <c r="M138" i="8"/>
  <c r="P138" i="8" s="1"/>
  <c r="L168" i="8"/>
  <c r="O168" i="8" s="1"/>
  <c r="L187" i="8"/>
  <c r="O187" i="8" s="1"/>
  <c r="K309" i="8"/>
  <c r="P333" i="8"/>
  <c r="K340" i="8"/>
  <c r="N347" i="8"/>
  <c r="K365" i="8"/>
  <c r="L447" i="8"/>
  <c r="O447" i="8" s="1"/>
  <c r="O479" i="8"/>
  <c r="K672" i="8"/>
  <c r="K726" i="8"/>
  <c r="L788" i="8"/>
  <c r="K821" i="8"/>
  <c r="K824" i="8"/>
  <c r="L23" i="8"/>
  <c r="L300" i="8"/>
  <c r="L298" i="8" s="1"/>
  <c r="K673" i="8"/>
  <c r="M69" i="7"/>
  <c r="P69" i="7" s="1"/>
  <c r="K116" i="8"/>
  <c r="O170" i="8"/>
  <c r="K224" i="8"/>
  <c r="L229" i="8"/>
  <c r="L249" i="8"/>
  <c r="O249" i="8" s="1"/>
  <c r="I276" i="8"/>
  <c r="K276" i="8" s="1"/>
  <c r="O282" i="8"/>
  <c r="L348" i="8"/>
  <c r="M391" i="8"/>
  <c r="P391" i="8" s="1"/>
  <c r="P394" i="8"/>
  <c r="I654" i="8"/>
  <c r="K822" i="8"/>
  <c r="K825" i="8"/>
  <c r="K338" i="7"/>
  <c r="M391" i="7"/>
  <c r="P391" i="7" s="1"/>
  <c r="M55" i="8"/>
  <c r="M53" i="8" s="1"/>
  <c r="M68" i="8"/>
  <c r="M66" i="8" s="1"/>
  <c r="P66" i="8" s="1"/>
  <c r="L171" i="8"/>
  <c r="O171" i="8" s="1"/>
  <c r="O186" i="8"/>
  <c r="I190" i="8"/>
  <c r="K190" i="8" s="1"/>
  <c r="L198" i="8"/>
  <c r="O198" i="8" s="1"/>
  <c r="L283" i="8"/>
  <c r="O283" i="8" s="1"/>
  <c r="L395" i="8"/>
  <c r="O395" i="8" s="1"/>
  <c r="M405" i="8"/>
  <c r="P405" i="8" s="1"/>
  <c r="M408" i="8"/>
  <c r="P408" i="8" s="1"/>
  <c r="K675" i="8"/>
  <c r="K827" i="7"/>
  <c r="K297" i="8"/>
  <c r="K338" i="8"/>
  <c r="K823" i="8"/>
  <c r="I86" i="8"/>
  <c r="K86" i="8" s="1"/>
  <c r="K98" i="8"/>
  <c r="P182" i="8"/>
  <c r="M629" i="8"/>
  <c r="P629" i="8" s="1"/>
  <c r="P630" i="8"/>
  <c r="N167" i="6"/>
  <c r="N165" i="6" s="1"/>
  <c r="N263" i="6"/>
  <c r="N261" i="6" s="1"/>
  <c r="M347" i="6"/>
  <c r="M345" i="6" s="1"/>
  <c r="M408" i="6"/>
  <c r="P408" i="6" s="1"/>
  <c r="L155" i="7"/>
  <c r="O155" i="7" s="1"/>
  <c r="K193" i="7"/>
  <c r="L217" i="7"/>
  <c r="O217" i="7" s="1"/>
  <c r="L228" i="7"/>
  <c r="M263" i="7"/>
  <c r="L267" i="7"/>
  <c r="O267" i="7" s="1"/>
  <c r="M321" i="7"/>
  <c r="P321" i="7" s="1"/>
  <c r="O479" i="7"/>
  <c r="I226" i="8"/>
  <c r="K226" i="8" s="1"/>
  <c r="K237" i="8"/>
  <c r="P15" i="8"/>
  <c r="I297" i="6"/>
  <c r="K297" i="6" s="1"/>
  <c r="L347" i="6"/>
  <c r="L345" i="6" s="1"/>
  <c r="I276" i="7"/>
  <c r="K276" i="7" s="1"/>
  <c r="M304" i="7"/>
  <c r="P304" i="7" s="1"/>
  <c r="M9" i="8"/>
  <c r="P12" i="8"/>
  <c r="L47" i="8"/>
  <c r="O47" i="8" s="1"/>
  <c r="O49" i="8"/>
  <c r="L264" i="8"/>
  <c r="O264" i="8" s="1"/>
  <c r="O266" i="8"/>
  <c r="L263" i="8"/>
  <c r="P56" i="6"/>
  <c r="L280" i="6"/>
  <c r="O280" i="6" s="1"/>
  <c r="K355" i="7"/>
  <c r="I434" i="7"/>
  <c r="I418" i="7" s="1"/>
  <c r="K418" i="7" s="1"/>
  <c r="O42" i="8"/>
  <c r="O93" i="8"/>
  <c r="N90" i="8"/>
  <c r="N23" i="8"/>
  <c r="K440" i="8"/>
  <c r="I434" i="8"/>
  <c r="K669" i="8"/>
  <c r="J654" i="8"/>
  <c r="N69" i="7"/>
  <c r="I112" i="7"/>
  <c r="K112" i="7" s="1"/>
  <c r="O264" i="7"/>
  <c r="N280" i="7"/>
  <c r="L36" i="7"/>
  <c r="L34" i="7" s="1"/>
  <c r="O34" i="7" s="1"/>
  <c r="K649" i="7"/>
  <c r="K821" i="7"/>
  <c r="K824" i="7"/>
  <c r="N91" i="8"/>
  <c r="O91" i="8" s="1"/>
  <c r="M125" i="8"/>
  <c r="P125" i="8" s="1"/>
  <c r="K593" i="6"/>
  <c r="L209" i="7"/>
  <c r="O209" i="7" s="1"/>
  <c r="N9" i="8"/>
  <c r="L155" i="8"/>
  <c r="O155" i="8" s="1"/>
  <c r="O157" i="8"/>
  <c r="O166" i="8"/>
  <c r="O262" i="8"/>
  <c r="J374" i="8"/>
  <c r="K374" i="8" s="1"/>
  <c r="K381" i="8"/>
  <c r="M26" i="8"/>
  <c r="O58" i="8"/>
  <c r="O71" i="8"/>
  <c r="K79" i="8"/>
  <c r="I77" i="8"/>
  <c r="P93" i="8"/>
  <c r="P170" i="8"/>
  <c r="L217" i="8"/>
  <c r="O217" i="8" s="1"/>
  <c r="P262" i="8"/>
  <c r="M280" i="8"/>
  <c r="P280" i="8" s="1"/>
  <c r="P282" i="8"/>
  <c r="N317" i="8"/>
  <c r="N315" i="8" s="1"/>
  <c r="L318" i="8"/>
  <c r="O318" i="8" s="1"/>
  <c r="O320" i="8"/>
  <c r="L317" i="8"/>
  <c r="O353" i="8"/>
  <c r="N351" i="8"/>
  <c r="O351" i="8" s="1"/>
  <c r="P353" i="8"/>
  <c r="L533" i="8"/>
  <c r="O533" i="8" s="1"/>
  <c r="O535" i="8"/>
  <c r="L525" i="8"/>
  <c r="P656" i="8"/>
  <c r="M655" i="8"/>
  <c r="P655" i="8" s="1"/>
  <c r="I76" i="8"/>
  <c r="I87" i="8"/>
  <c r="K87" i="8" s="1"/>
  <c r="K111" i="8"/>
  <c r="K145" i="8"/>
  <c r="I143" i="8"/>
  <c r="O333" i="8"/>
  <c r="N331" i="8"/>
  <c r="P403" i="8"/>
  <c r="P504" i="8"/>
  <c r="M502" i="8"/>
  <c r="P502" i="8" s="1"/>
  <c r="O545" i="8"/>
  <c r="N655" i="8"/>
  <c r="N28" i="8"/>
  <c r="L304" i="8"/>
  <c r="O304" i="8" s="1"/>
  <c r="O306" i="8"/>
  <c r="L321" i="8"/>
  <c r="O321" i="8" s="1"/>
  <c r="O323" i="8"/>
  <c r="M19" i="8"/>
  <c r="M28" i="8"/>
  <c r="P28" i="8" s="1"/>
  <c r="M31" i="8"/>
  <c r="P31" i="8" s="1"/>
  <c r="L43" i="8"/>
  <c r="M121" i="8"/>
  <c r="M134" i="8"/>
  <c r="J143" i="8"/>
  <c r="J131" i="8" s="1"/>
  <c r="K146" i="8"/>
  <c r="L151" i="8"/>
  <c r="O151" i="8" s="1"/>
  <c r="L183" i="8"/>
  <c r="N184" i="8"/>
  <c r="O184" i="8" s="1"/>
  <c r="P186" i="8"/>
  <c r="M283" i="8"/>
  <c r="P283" i="8" s="1"/>
  <c r="P285" i="8"/>
  <c r="N301" i="8"/>
  <c r="P301" i="8" s="1"/>
  <c r="N300" i="8"/>
  <c r="P303" i="8"/>
  <c r="L405" i="8"/>
  <c r="O405" i="8" s="1"/>
  <c r="O407" i="8"/>
  <c r="L404" i="8"/>
  <c r="M419" i="8"/>
  <c r="P420" i="8"/>
  <c r="L502" i="8"/>
  <c r="O502" i="8" s="1"/>
  <c r="O503" i="8"/>
  <c r="J537" i="8"/>
  <c r="J522" i="8" s="1"/>
  <c r="O549" i="8"/>
  <c r="N546" i="8"/>
  <c r="N544" i="8" s="1"/>
  <c r="N414" i="8" s="1"/>
  <c r="N547" i="8"/>
  <c r="I559" i="8"/>
  <c r="K576" i="8"/>
  <c r="L658" i="8"/>
  <c r="O658" i="8" s="1"/>
  <c r="L657" i="8"/>
  <c r="N685" i="8"/>
  <c r="N19" i="8"/>
  <c r="N34" i="8"/>
  <c r="M43" i="8"/>
  <c r="O46" i="8"/>
  <c r="O54" i="8"/>
  <c r="O61" i="8"/>
  <c r="O67" i="8"/>
  <c r="O74" i="8"/>
  <c r="P96" i="8"/>
  <c r="O154" i="8"/>
  <c r="P173" i="8"/>
  <c r="P299" i="8"/>
  <c r="P346" i="8"/>
  <c r="P390" i="8"/>
  <c r="L408" i="8"/>
  <c r="O408" i="8" s="1"/>
  <c r="O410" i="8"/>
  <c r="M444" i="8"/>
  <c r="P444" i="8" s="1"/>
  <c r="P445" i="8"/>
  <c r="O547" i="8"/>
  <c r="O557" i="8"/>
  <c r="L546" i="8"/>
  <c r="L544" i="8" s="1"/>
  <c r="L555" i="8"/>
  <c r="O555" i="8" s="1"/>
  <c r="L19" i="8"/>
  <c r="J288" i="8"/>
  <c r="I275" i="8"/>
  <c r="P316" i="8"/>
  <c r="P329" i="8"/>
  <c r="O350" i="8"/>
  <c r="N348" i="8"/>
  <c r="K435" i="8"/>
  <c r="J433" i="8"/>
  <c r="J417" i="8" s="1"/>
  <c r="O468" i="8"/>
  <c r="N502" i="8"/>
  <c r="J594" i="8"/>
  <c r="J722" i="8"/>
  <c r="K722" i="8" s="1"/>
  <c r="K725" i="8"/>
  <c r="N739" i="8"/>
  <c r="N737" i="8" s="1"/>
  <c r="N740" i="8"/>
  <c r="N772" i="8"/>
  <c r="N770" i="8" s="1"/>
  <c r="N773" i="8"/>
  <c r="L267" i="8"/>
  <c r="O267" i="8" s="1"/>
  <c r="O269" i="8"/>
  <c r="O278" i="8"/>
  <c r="L301" i="8"/>
  <c r="O303" i="8"/>
  <c r="I433" i="8"/>
  <c r="P555" i="8"/>
  <c r="M545" i="8"/>
  <c r="N687" i="8"/>
  <c r="N688" i="8"/>
  <c r="O688" i="8" s="1"/>
  <c r="O690" i="8"/>
  <c r="N756" i="8"/>
  <c r="N754" i="8" s="1"/>
  <c r="N757" i="8"/>
  <c r="L421" i="8"/>
  <c r="L446" i="8"/>
  <c r="L470" i="8"/>
  <c r="O470" i="8" s="1"/>
  <c r="L631" i="8"/>
  <c r="N808" i="8"/>
  <c r="O282" i="7"/>
  <c r="L280" i="7"/>
  <c r="O280" i="7" s="1"/>
  <c r="N90" i="6"/>
  <c r="N88" i="6" s="1"/>
  <c r="I86" i="6"/>
  <c r="K86" i="6" s="1"/>
  <c r="K98" i="6"/>
  <c r="M134" i="6"/>
  <c r="P134" i="6" s="1"/>
  <c r="K576" i="6"/>
  <c r="I559" i="6"/>
  <c r="I543" i="6" s="1"/>
  <c r="K543" i="6" s="1"/>
  <c r="K726" i="6"/>
  <c r="L55" i="6"/>
  <c r="I443" i="6"/>
  <c r="K443" i="6" s="1"/>
  <c r="M138" i="7"/>
  <c r="P138" i="7" s="1"/>
  <c r="M408" i="7"/>
  <c r="P408" i="7" s="1"/>
  <c r="K672" i="7"/>
  <c r="K669" i="7"/>
  <c r="I654" i="7"/>
  <c r="K654" i="7" s="1"/>
  <c r="P124" i="6"/>
  <c r="M122" i="6"/>
  <c r="P122" i="6" s="1"/>
  <c r="L301" i="6"/>
  <c r="L300" i="6"/>
  <c r="L298" i="6" s="1"/>
  <c r="K362" i="7"/>
  <c r="J537" i="7"/>
  <c r="J522" i="7" s="1"/>
  <c r="K538" i="7"/>
  <c r="P61" i="4"/>
  <c r="O127" i="7"/>
  <c r="L125" i="7"/>
  <c r="O125" i="7" s="1"/>
  <c r="N155" i="7"/>
  <c r="N151" i="7"/>
  <c r="N149" i="7" s="1"/>
  <c r="P157" i="6"/>
  <c r="M155" i="6"/>
  <c r="P155" i="6" s="1"/>
  <c r="I216" i="6"/>
  <c r="K216" i="6" s="1"/>
  <c r="K224" i="6"/>
  <c r="O124" i="7"/>
  <c r="L122" i="7"/>
  <c r="O122" i="7" s="1"/>
  <c r="L447" i="7"/>
  <c r="O447" i="7" s="1"/>
  <c r="O449" i="7"/>
  <c r="N151" i="4"/>
  <c r="N149" i="4" s="1"/>
  <c r="I248" i="5"/>
  <c r="K248" i="5" s="1"/>
  <c r="N330" i="6"/>
  <c r="N328" i="6" s="1"/>
  <c r="P157" i="7"/>
  <c r="L330" i="7"/>
  <c r="L328" i="7" s="1"/>
  <c r="J364" i="7"/>
  <c r="K823" i="7"/>
  <c r="O303" i="6"/>
  <c r="N317" i="7"/>
  <c r="N315" i="7" s="1"/>
  <c r="M330" i="7"/>
  <c r="K378" i="7"/>
  <c r="K381" i="7"/>
  <c r="K726" i="4"/>
  <c r="N317" i="5"/>
  <c r="N315" i="5" s="1"/>
  <c r="P71" i="6"/>
  <c r="O350" i="6"/>
  <c r="P46" i="7"/>
  <c r="L55" i="7"/>
  <c r="L53" i="7" s="1"/>
  <c r="M168" i="5"/>
  <c r="P168" i="5" s="1"/>
  <c r="M187" i="6"/>
  <c r="P187" i="6" s="1"/>
  <c r="I190" i="6"/>
  <c r="K190" i="6" s="1"/>
  <c r="P59" i="7"/>
  <c r="L135" i="7"/>
  <c r="O135" i="7" s="1"/>
  <c r="N134" i="7"/>
  <c r="N132" i="7" s="1"/>
  <c r="L152" i="7"/>
  <c r="O152" i="7" s="1"/>
  <c r="M267" i="7"/>
  <c r="P267" i="7" s="1"/>
  <c r="M283" i="7"/>
  <c r="P283" i="7" s="1"/>
  <c r="L304" i="7"/>
  <c r="O304" i="7" s="1"/>
  <c r="O333" i="7"/>
  <c r="L404" i="7"/>
  <c r="O404" i="7" s="1"/>
  <c r="N404" i="7"/>
  <c r="N402" i="7" s="1"/>
  <c r="N405" i="7"/>
  <c r="O472" i="7"/>
  <c r="L469" i="7"/>
  <c r="O469" i="7" s="1"/>
  <c r="K651" i="7"/>
  <c r="I628" i="7"/>
  <c r="K628" i="7" s="1"/>
  <c r="M55" i="5"/>
  <c r="M53" i="5" s="1"/>
  <c r="N134" i="6"/>
  <c r="N132" i="6" s="1"/>
  <c r="L391" i="6"/>
  <c r="O391" i="6" s="1"/>
  <c r="L59" i="7"/>
  <c r="O59" i="7" s="1"/>
  <c r="K116" i="7"/>
  <c r="N135" i="7"/>
  <c r="M167" i="7"/>
  <c r="M165" i="7" s="1"/>
  <c r="M183" i="7"/>
  <c r="M181" i="7" s="1"/>
  <c r="M279" i="7"/>
  <c r="M277" i="7" s="1"/>
  <c r="P277" i="7" s="1"/>
  <c r="L300" i="7"/>
  <c r="N318" i="7"/>
  <c r="N331" i="7"/>
  <c r="O331" i="7" s="1"/>
  <c r="O397" i="7"/>
  <c r="L395" i="7"/>
  <c r="O395" i="7" s="1"/>
  <c r="L391" i="7"/>
  <c r="O391" i="7" s="1"/>
  <c r="K462" i="7"/>
  <c r="I443" i="7"/>
  <c r="K443" i="7" s="1"/>
  <c r="J721" i="7"/>
  <c r="L229" i="5"/>
  <c r="L167" i="6"/>
  <c r="M167" i="6"/>
  <c r="O46" i="7"/>
  <c r="M68" i="7"/>
  <c r="P68" i="7" s="1"/>
  <c r="M72" i="7"/>
  <c r="P72" i="7" s="1"/>
  <c r="K111" i="7"/>
  <c r="L171" i="7"/>
  <c r="O171" i="7" s="1"/>
  <c r="I197" i="7"/>
  <c r="K197" i="7" s="1"/>
  <c r="I208" i="7"/>
  <c r="K208" i="7" s="1"/>
  <c r="K224" i="7"/>
  <c r="K244" i="7"/>
  <c r="K255" i="7"/>
  <c r="M300" i="7"/>
  <c r="P300" i="7" s="1"/>
  <c r="L334" i="7"/>
  <c r="O334" i="7" s="1"/>
  <c r="K372" i="7"/>
  <c r="L688" i="7"/>
  <c r="O688" i="7" s="1"/>
  <c r="O690" i="7"/>
  <c r="L687" i="7"/>
  <c r="L685" i="7" s="1"/>
  <c r="O685" i="7" s="1"/>
  <c r="L318" i="6"/>
  <c r="O318" i="6" s="1"/>
  <c r="M321" i="6"/>
  <c r="P321" i="6" s="1"/>
  <c r="K628" i="6"/>
  <c r="M44" i="7"/>
  <c r="O61" i="7"/>
  <c r="L94" i="7"/>
  <c r="O94" i="7" s="1"/>
  <c r="L151" i="7"/>
  <c r="L249" i="7"/>
  <c r="O249" i="7" s="1"/>
  <c r="M264" i="7"/>
  <c r="P264" i="7" s="1"/>
  <c r="L301" i="7"/>
  <c r="O301" i="7" s="1"/>
  <c r="O336" i="7"/>
  <c r="N392" i="7"/>
  <c r="O58" i="6"/>
  <c r="O127" i="6"/>
  <c r="L171" i="6"/>
  <c r="O171" i="6" s="1"/>
  <c r="N404" i="6"/>
  <c r="N402" i="6" s="1"/>
  <c r="I434" i="6"/>
  <c r="K434" i="6" s="1"/>
  <c r="L134" i="7"/>
  <c r="O134" i="7" s="1"/>
  <c r="P154" i="7"/>
  <c r="O189" i="7"/>
  <c r="K216" i="7"/>
  <c r="I233" i="7"/>
  <c r="K233" i="7" s="1"/>
  <c r="L229" i="7"/>
  <c r="P282" i="7"/>
  <c r="N300" i="7"/>
  <c r="N298" i="7" s="1"/>
  <c r="L347" i="7"/>
  <c r="L345" i="7" s="1"/>
  <c r="O353" i="7"/>
  <c r="L351" i="7"/>
  <c r="O351" i="7" s="1"/>
  <c r="K438" i="7"/>
  <c r="I130" i="5"/>
  <c r="K130" i="5" s="1"/>
  <c r="M152" i="5"/>
  <c r="P152" i="5" s="1"/>
  <c r="P394" i="5"/>
  <c r="N151" i="6"/>
  <c r="N149" i="6" s="1"/>
  <c r="I276" i="6"/>
  <c r="K276" i="6" s="1"/>
  <c r="K378" i="6"/>
  <c r="K381" i="6"/>
  <c r="O557" i="6"/>
  <c r="L43" i="7"/>
  <c r="L41" i="7" s="1"/>
  <c r="K98" i="7"/>
  <c r="I143" i="7"/>
  <c r="L167" i="7"/>
  <c r="L165" i="7" s="1"/>
  <c r="I297" i="7"/>
  <c r="K297" i="7" s="1"/>
  <c r="P407" i="7"/>
  <c r="M404" i="7"/>
  <c r="O660" i="7"/>
  <c r="L657" i="7"/>
  <c r="O657" i="7" s="1"/>
  <c r="K673" i="7"/>
  <c r="K379" i="7"/>
  <c r="J722" i="7"/>
  <c r="K822" i="7"/>
  <c r="K828" i="7"/>
  <c r="O74" i="7"/>
  <c r="L68" i="7"/>
  <c r="O68" i="7" s="1"/>
  <c r="I76" i="7"/>
  <c r="K82" i="7"/>
  <c r="M122" i="7"/>
  <c r="P122" i="7" s="1"/>
  <c r="P124" i="7"/>
  <c r="M121" i="7"/>
  <c r="N184" i="7"/>
  <c r="O184" i="7" s="1"/>
  <c r="N183" i="7"/>
  <c r="N181" i="7" s="1"/>
  <c r="N334" i="7"/>
  <c r="N330" i="7"/>
  <c r="L231" i="4"/>
  <c r="K338" i="4"/>
  <c r="K822" i="5"/>
  <c r="K828" i="5"/>
  <c r="O56" i="6"/>
  <c r="N68" i="6"/>
  <c r="N66" i="6" s="1"/>
  <c r="I87" i="6"/>
  <c r="K87" i="6" s="1"/>
  <c r="M151" i="6"/>
  <c r="M149" i="6" s="1"/>
  <c r="I260" i="6"/>
  <c r="K260" i="6" s="1"/>
  <c r="I275" i="6"/>
  <c r="K275" i="6" s="1"/>
  <c r="K288" i="6"/>
  <c r="M300" i="6"/>
  <c r="M298" i="6" s="1"/>
  <c r="L304" i="6"/>
  <c r="O304" i="6" s="1"/>
  <c r="N331" i="6"/>
  <c r="L334" i="6"/>
  <c r="O334" i="6" s="1"/>
  <c r="N408" i="6"/>
  <c r="O472" i="6"/>
  <c r="L72" i="7"/>
  <c r="O72" i="7" s="1"/>
  <c r="O266" i="7"/>
  <c r="L263" i="7"/>
  <c r="O285" i="7"/>
  <c r="L279" i="7"/>
  <c r="O279" i="7" s="1"/>
  <c r="P58" i="6"/>
  <c r="P61" i="6"/>
  <c r="M72" i="6"/>
  <c r="P72" i="6" s="1"/>
  <c r="L90" i="6"/>
  <c r="L88" i="6" s="1"/>
  <c r="I148" i="6"/>
  <c r="K148" i="6" s="1"/>
  <c r="M279" i="6"/>
  <c r="P279" i="6" s="1"/>
  <c r="K338" i="6"/>
  <c r="K360" i="6"/>
  <c r="J364" i="6"/>
  <c r="K79" i="7"/>
  <c r="I77" i="7"/>
  <c r="L91" i="7"/>
  <c r="O93" i="7"/>
  <c r="L90" i="7"/>
  <c r="K99" i="7"/>
  <c r="I87" i="7"/>
  <c r="K87" i="7" s="1"/>
  <c r="K374" i="7"/>
  <c r="I364" i="7"/>
  <c r="L526" i="7"/>
  <c r="O526" i="7" s="1"/>
  <c r="O528" i="7"/>
  <c r="L525" i="7"/>
  <c r="L33" i="7"/>
  <c r="L31" i="7" s="1"/>
  <c r="L392" i="5"/>
  <c r="O392" i="5" s="1"/>
  <c r="K465" i="5"/>
  <c r="N26" i="6"/>
  <c r="N16" i="6" s="1"/>
  <c r="N14" i="6" s="1"/>
  <c r="N55" i="6"/>
  <c r="N53" i="6" s="1"/>
  <c r="N121" i="6"/>
  <c r="N119" i="6" s="1"/>
  <c r="O157" i="6"/>
  <c r="P186" i="6"/>
  <c r="L392" i="6"/>
  <c r="O392" i="6" s="1"/>
  <c r="O394" i="6"/>
  <c r="N15" i="7"/>
  <c r="N125" i="7"/>
  <c r="N26" i="7"/>
  <c r="N16" i="7" s="1"/>
  <c r="N121" i="7"/>
  <c r="N119" i="7" s="1"/>
  <c r="N168" i="7"/>
  <c r="P168" i="7" s="1"/>
  <c r="N167" i="7"/>
  <c r="M279" i="4"/>
  <c r="M277" i="4" s="1"/>
  <c r="I442" i="6"/>
  <c r="K442" i="6" s="1"/>
  <c r="J537" i="6"/>
  <c r="J522" i="6" s="1"/>
  <c r="N29" i="7"/>
  <c r="N28" i="7" s="1"/>
  <c r="N31" i="7"/>
  <c r="M23" i="7"/>
  <c r="M21" i="7" s="1"/>
  <c r="O54" i="7"/>
  <c r="N56" i="7"/>
  <c r="O56" i="7" s="1"/>
  <c r="O58" i="7"/>
  <c r="N55" i="7"/>
  <c r="P96" i="7"/>
  <c r="M94" i="7"/>
  <c r="P94" i="7" s="1"/>
  <c r="M26" i="7"/>
  <c r="M90" i="7"/>
  <c r="O346" i="7"/>
  <c r="P390" i="7"/>
  <c r="M94" i="5"/>
  <c r="P94" i="5" s="1"/>
  <c r="I260" i="5"/>
  <c r="K260" i="5" s="1"/>
  <c r="K338" i="5"/>
  <c r="K651" i="5"/>
  <c r="M125" i="6"/>
  <c r="P125" i="6" s="1"/>
  <c r="M138" i="6"/>
  <c r="P138" i="6" s="1"/>
  <c r="M184" i="6"/>
  <c r="P184" i="6" s="1"/>
  <c r="L187" i="6"/>
  <c r="O187" i="6" s="1"/>
  <c r="L231" i="6"/>
  <c r="I314" i="6"/>
  <c r="K314" i="6" s="1"/>
  <c r="K374" i="6"/>
  <c r="L23" i="7"/>
  <c r="L26" i="7"/>
  <c r="L24" i="7" s="1"/>
  <c r="P67" i="7"/>
  <c r="I130" i="7"/>
  <c r="K130" i="7" s="1"/>
  <c r="K146" i="7"/>
  <c r="P186" i="7"/>
  <c r="L238" i="7"/>
  <c r="L231" i="7"/>
  <c r="L317" i="7"/>
  <c r="O317" i="7" s="1"/>
  <c r="O323" i="7"/>
  <c r="P329" i="7"/>
  <c r="P353" i="7"/>
  <c r="M351" i="7"/>
  <c r="P351" i="7" s="1"/>
  <c r="M347" i="7"/>
  <c r="M444" i="7"/>
  <c r="P444" i="7" s="1"/>
  <c r="P445" i="7"/>
  <c r="L469" i="6"/>
  <c r="L467" i="6" s="1"/>
  <c r="O467" i="6" s="1"/>
  <c r="O12" i="7"/>
  <c r="L15" i="7"/>
  <c r="O19" i="7"/>
  <c r="O25" i="7"/>
  <c r="L29" i="7"/>
  <c r="M30" i="7"/>
  <c r="P30" i="7" s="1"/>
  <c r="O32" i="7"/>
  <c r="P42" i="7"/>
  <c r="L47" i="7"/>
  <c r="O47" i="7" s="1"/>
  <c r="P61" i="7"/>
  <c r="J86" i="7"/>
  <c r="K86" i="7" s="1"/>
  <c r="N91" i="7"/>
  <c r="P91" i="7" s="1"/>
  <c r="P93" i="7"/>
  <c r="M134" i="7"/>
  <c r="P134" i="7" s="1"/>
  <c r="J143" i="7"/>
  <c r="J131" i="7" s="1"/>
  <c r="O170" i="7"/>
  <c r="I174" i="7"/>
  <c r="O186" i="7"/>
  <c r="P189" i="7"/>
  <c r="I260" i="7"/>
  <c r="K260" i="7" s="1"/>
  <c r="J288" i="7"/>
  <c r="J275" i="7" s="1"/>
  <c r="I275" i="7"/>
  <c r="K275" i="7" s="1"/>
  <c r="J327" i="7"/>
  <c r="K327" i="7" s="1"/>
  <c r="K359" i="7"/>
  <c r="K369" i="7"/>
  <c r="L408" i="7"/>
  <c r="O408" i="7" s="1"/>
  <c r="O410" i="7"/>
  <c r="M419" i="7"/>
  <c r="P420" i="7"/>
  <c r="O503" i="7"/>
  <c r="P545" i="7"/>
  <c r="M544" i="7"/>
  <c r="P544" i="7" s="1"/>
  <c r="O788" i="7"/>
  <c r="L786" i="7"/>
  <c r="O786" i="7" s="1"/>
  <c r="M15" i="7"/>
  <c r="M9" i="7" s="1"/>
  <c r="N23" i="7"/>
  <c r="M29" i="7"/>
  <c r="P58" i="7"/>
  <c r="P127" i="7"/>
  <c r="I148" i="7"/>
  <c r="K148" i="7" s="1"/>
  <c r="P333" i="7"/>
  <c r="M331" i="7"/>
  <c r="P350" i="7"/>
  <c r="M348" i="7"/>
  <c r="P394" i="7"/>
  <c r="M392" i="7"/>
  <c r="P392" i="7" s="1"/>
  <c r="N419" i="7"/>
  <c r="L429" i="7"/>
  <c r="O429" i="7" s="1"/>
  <c r="O431" i="7"/>
  <c r="L421" i="7"/>
  <c r="P739" i="7"/>
  <c r="M737" i="7"/>
  <c r="P737" i="7" s="1"/>
  <c r="N44" i="7"/>
  <c r="M151" i="7"/>
  <c r="L168" i="7"/>
  <c r="M171" i="7"/>
  <c r="P171" i="7" s="1"/>
  <c r="K237" i="7"/>
  <c r="I226" i="7"/>
  <c r="K226" i="7" s="1"/>
  <c r="N263" i="7"/>
  <c r="N261" i="7" s="1"/>
  <c r="P299" i="7"/>
  <c r="L318" i="7"/>
  <c r="O318" i="7" s="1"/>
  <c r="K370" i="7"/>
  <c r="O403" i="7"/>
  <c r="L454" i="7"/>
  <c r="O454" i="7" s="1"/>
  <c r="O456" i="7"/>
  <c r="L446" i="7"/>
  <c r="P303" i="7"/>
  <c r="M301" i="7"/>
  <c r="P301" i="7" s="1"/>
  <c r="L639" i="7"/>
  <c r="O639" i="7" s="1"/>
  <c r="O641" i="7"/>
  <c r="L631" i="7"/>
  <c r="P170" i="7"/>
  <c r="L183" i="7"/>
  <c r="L198" i="7"/>
  <c r="O198" i="7" s="1"/>
  <c r="I314" i="7"/>
  <c r="K314" i="7" s="1"/>
  <c r="P397" i="7"/>
  <c r="M395" i="7"/>
  <c r="P395" i="7" s="1"/>
  <c r="P336" i="7"/>
  <c r="M334" i="7"/>
  <c r="P334" i="7" s="1"/>
  <c r="K340" i="7"/>
  <c r="K365" i="7"/>
  <c r="K435" i="7"/>
  <c r="J433" i="7"/>
  <c r="J417" i="7" s="1"/>
  <c r="K417" i="7" s="1"/>
  <c r="N444" i="7"/>
  <c r="N470" i="7"/>
  <c r="M502" i="7"/>
  <c r="P502" i="7" s="1"/>
  <c r="O738" i="7"/>
  <c r="L737" i="7"/>
  <c r="O737" i="7" s="1"/>
  <c r="N770" i="7"/>
  <c r="O807" i="7"/>
  <c r="L805" i="7"/>
  <c r="O805" i="7" s="1"/>
  <c r="P756" i="7"/>
  <c r="M754" i="7"/>
  <c r="P754" i="7" s="1"/>
  <c r="L789" i="7"/>
  <c r="O789" i="7" s="1"/>
  <c r="O791" i="7"/>
  <c r="N737" i="7"/>
  <c r="O755" i="7"/>
  <c r="L754" i="7"/>
  <c r="O754" i="7" s="1"/>
  <c r="N807" i="7"/>
  <c r="N805" i="7" s="1"/>
  <c r="N808" i="7"/>
  <c r="P772" i="7"/>
  <c r="M770" i="7"/>
  <c r="P770" i="7" s="1"/>
  <c r="K647" i="7"/>
  <c r="N754" i="7"/>
  <c r="O771" i="7"/>
  <c r="L770" i="7"/>
  <c r="O770" i="7" s="1"/>
  <c r="P468" i="7"/>
  <c r="L470" i="7"/>
  <c r="P503" i="7"/>
  <c r="O656" i="7"/>
  <c r="K674" i="7"/>
  <c r="L555" i="7"/>
  <c r="O555" i="7" s="1"/>
  <c r="L658" i="7"/>
  <c r="O658" i="7" s="1"/>
  <c r="K675" i="7"/>
  <c r="M685" i="7"/>
  <c r="P685" i="7" s="1"/>
  <c r="M786" i="7"/>
  <c r="P786" i="7" s="1"/>
  <c r="M805" i="7"/>
  <c r="P805" i="7" s="1"/>
  <c r="K537" i="7"/>
  <c r="L546" i="7"/>
  <c r="K593" i="7"/>
  <c r="I112" i="6"/>
  <c r="K112" i="6" s="1"/>
  <c r="M59" i="6"/>
  <c r="O323" i="6"/>
  <c r="L321" i="6"/>
  <c r="O321" i="6" s="1"/>
  <c r="N43" i="6"/>
  <c r="N41" i="6" s="1"/>
  <c r="L151" i="5"/>
  <c r="O151" i="5" s="1"/>
  <c r="P407" i="6"/>
  <c r="M405" i="6"/>
  <c r="P405" i="6" s="1"/>
  <c r="M90" i="5"/>
  <c r="M88" i="5" s="1"/>
  <c r="P93" i="5"/>
  <c r="M135" i="5"/>
  <c r="P135" i="5" s="1"/>
  <c r="J143" i="5"/>
  <c r="J131" i="5" s="1"/>
  <c r="L231" i="5"/>
  <c r="M283" i="5"/>
  <c r="P283" i="5" s="1"/>
  <c r="K372" i="5"/>
  <c r="L391" i="5"/>
  <c r="O391" i="5" s="1"/>
  <c r="N23" i="6"/>
  <c r="N13" i="6" s="1"/>
  <c r="M26" i="6"/>
  <c r="M16" i="6" s="1"/>
  <c r="N47" i="6"/>
  <c r="P49" i="6"/>
  <c r="M55" i="6"/>
  <c r="M53" i="6" s="1"/>
  <c r="N59" i="6"/>
  <c r="O59" i="6" s="1"/>
  <c r="M68" i="6"/>
  <c r="O69" i="6"/>
  <c r="P137" i="6"/>
  <c r="M135" i="6"/>
  <c r="P135" i="6" s="1"/>
  <c r="K176" i="6"/>
  <c r="L184" i="6"/>
  <c r="O184" i="6" s="1"/>
  <c r="L183" i="6"/>
  <c r="L181" i="6" s="1"/>
  <c r="M264" i="6"/>
  <c r="P264" i="6" s="1"/>
  <c r="M263" i="6"/>
  <c r="P263" i="6" s="1"/>
  <c r="O333" i="6"/>
  <c r="L331" i="6"/>
  <c r="N392" i="6"/>
  <c r="N391" i="6"/>
  <c r="N389" i="6" s="1"/>
  <c r="L405" i="6"/>
  <c r="O405" i="6" s="1"/>
  <c r="I522" i="6"/>
  <c r="K522" i="6" s="1"/>
  <c r="K537" i="6"/>
  <c r="K823" i="6"/>
  <c r="K826" i="6"/>
  <c r="N121" i="5"/>
  <c r="N119" i="5" s="1"/>
  <c r="P301" i="5"/>
  <c r="N72" i="6"/>
  <c r="I77" i="6"/>
  <c r="I65" i="6" s="1"/>
  <c r="K65" i="6" s="1"/>
  <c r="L263" i="6"/>
  <c r="L261" i="6" s="1"/>
  <c r="L317" i="6"/>
  <c r="O317" i="6" s="1"/>
  <c r="K800" i="6"/>
  <c r="I785" i="6"/>
  <c r="K785" i="6" s="1"/>
  <c r="K176" i="5"/>
  <c r="L547" i="5"/>
  <c r="O547" i="5" s="1"/>
  <c r="L23" i="6"/>
  <c r="L21" i="6" s="1"/>
  <c r="L477" i="6"/>
  <c r="O477" i="6" s="1"/>
  <c r="K145" i="5"/>
  <c r="L198" i="5"/>
  <c r="O198" i="5" s="1"/>
  <c r="I208" i="5"/>
  <c r="K208" i="5" s="1"/>
  <c r="M391" i="5"/>
  <c r="P391" i="5" s="1"/>
  <c r="M69" i="6"/>
  <c r="P69" i="6" s="1"/>
  <c r="M90" i="6"/>
  <c r="M88" i="6" s="1"/>
  <c r="L395" i="6"/>
  <c r="O395" i="6" s="1"/>
  <c r="K538" i="6"/>
  <c r="L422" i="5"/>
  <c r="O422" i="5" s="1"/>
  <c r="L121" i="5"/>
  <c r="O121" i="5" s="1"/>
  <c r="K365" i="5"/>
  <c r="L36" i="6"/>
  <c r="O36" i="6" s="1"/>
  <c r="M43" i="6"/>
  <c r="M41" i="6" s="1"/>
  <c r="M121" i="6"/>
  <c r="J143" i="6"/>
  <c r="J131" i="6" s="1"/>
  <c r="N152" i="6"/>
  <c r="P152" i="6" s="1"/>
  <c r="K362" i="6"/>
  <c r="L230" i="6"/>
  <c r="P282" i="6"/>
  <c r="K355" i="6"/>
  <c r="K369" i="6"/>
  <c r="K372" i="6"/>
  <c r="K385" i="6"/>
  <c r="K649" i="6"/>
  <c r="K725" i="6"/>
  <c r="K821" i="6"/>
  <c r="K824" i="6"/>
  <c r="K827" i="6"/>
  <c r="L198" i="6"/>
  <c r="O198" i="6" s="1"/>
  <c r="L228" i="6"/>
  <c r="K822" i="6"/>
  <c r="K825" i="6"/>
  <c r="K828" i="6"/>
  <c r="I208" i="6"/>
  <c r="K208" i="6" s="1"/>
  <c r="K359" i="6"/>
  <c r="P44" i="6"/>
  <c r="O170" i="6"/>
  <c r="K174" i="6"/>
  <c r="N183" i="6"/>
  <c r="N181" i="6" s="1"/>
  <c r="O186" i="6"/>
  <c r="L209" i="6"/>
  <c r="O209" i="6" s="1"/>
  <c r="O266" i="6"/>
  <c r="L546" i="6"/>
  <c r="K700" i="6"/>
  <c r="J722" i="6"/>
  <c r="K722" i="6" s="1"/>
  <c r="P46" i="6"/>
  <c r="O74" i="6"/>
  <c r="N91" i="6"/>
  <c r="O91" i="6" s="1"/>
  <c r="L94" i="6"/>
  <c r="O94" i="6" s="1"/>
  <c r="P266" i="6"/>
  <c r="O269" i="6"/>
  <c r="N317" i="6"/>
  <c r="N315" i="6" s="1"/>
  <c r="L43" i="6"/>
  <c r="L41" i="6" s="1"/>
  <c r="P96" i="6"/>
  <c r="L217" i="6"/>
  <c r="O217" i="6" s="1"/>
  <c r="P269" i="6"/>
  <c r="M283" i="6"/>
  <c r="P283" i="6" s="1"/>
  <c r="P285" i="6"/>
  <c r="I654" i="6"/>
  <c r="K654" i="6" s="1"/>
  <c r="L657" i="6"/>
  <c r="O657" i="6" s="1"/>
  <c r="K723" i="6"/>
  <c r="O71" i="6"/>
  <c r="P154" i="6"/>
  <c r="K164" i="6"/>
  <c r="K204" i="6"/>
  <c r="L238" i="6"/>
  <c r="O238" i="6" s="1"/>
  <c r="K673" i="6"/>
  <c r="I216" i="5"/>
  <c r="K216" i="5" s="1"/>
  <c r="O44" i="6"/>
  <c r="O93" i="6"/>
  <c r="L121" i="6"/>
  <c r="O121" i="6" s="1"/>
  <c r="O124" i="6"/>
  <c r="O479" i="6"/>
  <c r="K651" i="6"/>
  <c r="K669" i="6"/>
  <c r="L687" i="6"/>
  <c r="L685" i="6" s="1"/>
  <c r="O685" i="6" s="1"/>
  <c r="K720" i="6"/>
  <c r="M122" i="5"/>
  <c r="P122" i="5" s="1"/>
  <c r="K81" i="6"/>
  <c r="L151" i="6"/>
  <c r="O154" i="6"/>
  <c r="O549" i="6"/>
  <c r="O690" i="6"/>
  <c r="O390" i="6"/>
  <c r="L69" i="5"/>
  <c r="O69" i="5" s="1"/>
  <c r="K144" i="5"/>
  <c r="L347" i="5"/>
  <c r="L345" i="5" s="1"/>
  <c r="O407" i="5"/>
  <c r="O12" i="6"/>
  <c r="L15" i="6"/>
  <c r="L9" i="6" s="1"/>
  <c r="O19" i="6"/>
  <c r="M23" i="6"/>
  <c r="M21" i="6" s="1"/>
  <c r="O25" i="6"/>
  <c r="L29" i="6"/>
  <c r="M30" i="6"/>
  <c r="P30" i="6" s="1"/>
  <c r="N31" i="6"/>
  <c r="O32" i="6"/>
  <c r="O46" i="6"/>
  <c r="L68" i="6"/>
  <c r="P93" i="6"/>
  <c r="I233" i="6"/>
  <c r="K233" i="6" s="1"/>
  <c r="K244" i="6"/>
  <c r="I237" i="6"/>
  <c r="P320" i="6"/>
  <c r="M317" i="6"/>
  <c r="O348" i="6"/>
  <c r="I364" i="6"/>
  <c r="M419" i="6"/>
  <c r="P420" i="6"/>
  <c r="N68" i="5"/>
  <c r="N66" i="5" s="1"/>
  <c r="I130" i="6"/>
  <c r="K130" i="6" s="1"/>
  <c r="K146" i="6"/>
  <c r="M43" i="5"/>
  <c r="M41" i="5" s="1"/>
  <c r="M47" i="5"/>
  <c r="P47" i="5" s="1"/>
  <c r="I76" i="6"/>
  <c r="K80" i="6"/>
  <c r="L135" i="6"/>
  <c r="O135" i="6" s="1"/>
  <c r="O137" i="6"/>
  <c r="L283" i="6"/>
  <c r="O283" i="6" s="1"/>
  <c r="O285" i="6"/>
  <c r="L279" i="6"/>
  <c r="N351" i="6"/>
  <c r="O351" i="6" s="1"/>
  <c r="N347" i="6"/>
  <c r="O353" i="6"/>
  <c r="O403" i="6"/>
  <c r="L526" i="6"/>
  <c r="O526" i="6" s="1"/>
  <c r="O528" i="6"/>
  <c r="L525" i="6"/>
  <c r="P756" i="6"/>
  <c r="M754" i="6"/>
  <c r="P754" i="6" s="1"/>
  <c r="K708" i="4"/>
  <c r="K729" i="4"/>
  <c r="L26" i="6"/>
  <c r="L24" i="6" s="1"/>
  <c r="L33" i="6"/>
  <c r="L31" i="6" s="1"/>
  <c r="O31" i="6" s="1"/>
  <c r="M34" i="6"/>
  <c r="P34" i="6" s="1"/>
  <c r="O61" i="6"/>
  <c r="P299" i="6"/>
  <c r="I417" i="6"/>
  <c r="I248" i="4"/>
  <c r="K248" i="4" s="1"/>
  <c r="K378" i="4"/>
  <c r="M279" i="5"/>
  <c r="M277" i="5" s="1"/>
  <c r="L348" i="5"/>
  <c r="L404" i="5"/>
  <c r="O404" i="5" s="1"/>
  <c r="I433" i="5"/>
  <c r="I417" i="5" s="1"/>
  <c r="L138" i="6"/>
  <c r="O138" i="6" s="1"/>
  <c r="O140" i="6"/>
  <c r="O166" i="6"/>
  <c r="M168" i="6"/>
  <c r="P168" i="6" s="1"/>
  <c r="P170" i="6"/>
  <c r="P329" i="6"/>
  <c r="L404" i="6"/>
  <c r="O404" i="6" s="1"/>
  <c r="O410" i="6"/>
  <c r="M12" i="6"/>
  <c r="M19" i="6"/>
  <c r="O49" i="6"/>
  <c r="O168" i="6"/>
  <c r="M171" i="6"/>
  <c r="P171" i="6" s="1"/>
  <c r="P173" i="6"/>
  <c r="P182" i="6"/>
  <c r="O54" i="6"/>
  <c r="O120" i="6"/>
  <c r="O150" i="6"/>
  <c r="L249" i="6"/>
  <c r="P262" i="6"/>
  <c r="M304" i="6"/>
  <c r="P304" i="6" s="1"/>
  <c r="P346" i="6"/>
  <c r="P350" i="6"/>
  <c r="M348" i="6"/>
  <c r="P348" i="6" s="1"/>
  <c r="K379" i="6"/>
  <c r="P397" i="6"/>
  <c r="M395" i="6"/>
  <c r="P395" i="6" s="1"/>
  <c r="N419" i="6"/>
  <c r="N544" i="6"/>
  <c r="K647" i="6"/>
  <c r="K701" i="6"/>
  <c r="N737" i="6"/>
  <c r="O755" i="6"/>
  <c r="L754" i="6"/>
  <c r="O754" i="6" s="1"/>
  <c r="L789" i="6"/>
  <c r="O789" i="6" s="1"/>
  <c r="O791" i="6"/>
  <c r="O807" i="6"/>
  <c r="L805" i="6"/>
  <c r="O805" i="6" s="1"/>
  <c r="P336" i="6"/>
  <c r="M334" i="6"/>
  <c r="P334" i="6" s="1"/>
  <c r="K340" i="6"/>
  <c r="K365" i="6"/>
  <c r="P772" i="6"/>
  <c r="M770" i="6"/>
  <c r="P770" i="6" s="1"/>
  <c r="N264" i="6"/>
  <c r="O264" i="6" s="1"/>
  <c r="N301" i="6"/>
  <c r="P303" i="6"/>
  <c r="K370" i="6"/>
  <c r="P394" i="6"/>
  <c r="M392" i="6"/>
  <c r="P392" i="6" s="1"/>
  <c r="K435" i="6"/>
  <c r="J433" i="6"/>
  <c r="J417" i="6" s="1"/>
  <c r="N444" i="6"/>
  <c r="L454" i="6"/>
  <c r="O454" i="6" s="1"/>
  <c r="O456" i="6"/>
  <c r="L446" i="6"/>
  <c r="P545" i="6"/>
  <c r="M544" i="6"/>
  <c r="P544" i="6" s="1"/>
  <c r="L639" i="6"/>
  <c r="O639" i="6" s="1"/>
  <c r="O641" i="6"/>
  <c r="L631" i="6"/>
  <c r="O688" i="6"/>
  <c r="K699" i="6"/>
  <c r="O771" i="6"/>
  <c r="L770" i="6"/>
  <c r="O770" i="6" s="1"/>
  <c r="N807" i="6"/>
  <c r="N808" i="6"/>
  <c r="L229" i="6"/>
  <c r="I248" i="6"/>
  <c r="K248" i="6" s="1"/>
  <c r="P333" i="6"/>
  <c r="M331" i="6"/>
  <c r="J327" i="6"/>
  <c r="K327" i="6" s="1"/>
  <c r="L429" i="6"/>
  <c r="O429" i="6" s="1"/>
  <c r="O431" i="6"/>
  <c r="L421" i="6"/>
  <c r="P739" i="6"/>
  <c r="M737" i="6"/>
  <c r="P737" i="6" s="1"/>
  <c r="I143" i="6"/>
  <c r="N300" i="6"/>
  <c r="M330" i="6"/>
  <c r="P353" i="6"/>
  <c r="M351" i="6"/>
  <c r="M391" i="6"/>
  <c r="M404" i="6"/>
  <c r="K592" i="6"/>
  <c r="K728" i="6"/>
  <c r="O738" i="6"/>
  <c r="L737" i="6"/>
  <c r="O737" i="6" s="1"/>
  <c r="N770" i="6"/>
  <c r="O788" i="6"/>
  <c r="L786" i="6"/>
  <c r="O786" i="6" s="1"/>
  <c r="N805" i="6"/>
  <c r="P468" i="6"/>
  <c r="P503" i="6"/>
  <c r="O656" i="6"/>
  <c r="K674" i="6"/>
  <c r="J721" i="6"/>
  <c r="K721" i="6" s="1"/>
  <c r="L658" i="6"/>
  <c r="O658" i="6" s="1"/>
  <c r="K675" i="6"/>
  <c r="M786" i="6"/>
  <c r="P786" i="6" s="1"/>
  <c r="N469" i="6"/>
  <c r="N467" i="6" s="1"/>
  <c r="K143" i="5"/>
  <c r="I131" i="5"/>
  <c r="K131" i="5" s="1"/>
  <c r="L55" i="5"/>
  <c r="L53" i="5" s="1"/>
  <c r="M72" i="5"/>
  <c r="P72" i="5" s="1"/>
  <c r="N90" i="5"/>
  <c r="N88" i="5" s="1"/>
  <c r="L90" i="5"/>
  <c r="N122" i="5"/>
  <c r="L138" i="5"/>
  <c r="O138" i="5" s="1"/>
  <c r="N152" i="5"/>
  <c r="M155" i="5"/>
  <c r="P155" i="5" s="1"/>
  <c r="O282" i="5"/>
  <c r="O303" i="5"/>
  <c r="L330" i="5"/>
  <c r="L328" i="5" s="1"/>
  <c r="K359" i="5"/>
  <c r="L36" i="5"/>
  <c r="O36" i="5" s="1"/>
  <c r="I443" i="5"/>
  <c r="K443" i="5" s="1"/>
  <c r="K460" i="5"/>
  <c r="K649" i="5"/>
  <c r="K669" i="5"/>
  <c r="N55" i="5"/>
  <c r="N53" i="5" s="1"/>
  <c r="N167" i="5"/>
  <c r="N165" i="5" s="1"/>
  <c r="L263" i="5"/>
  <c r="L261" i="5" s="1"/>
  <c r="L304" i="5"/>
  <c r="O304" i="5" s="1"/>
  <c r="N300" i="5"/>
  <c r="N298" i="5" s="1"/>
  <c r="K374" i="5"/>
  <c r="N279" i="5"/>
  <c r="N277" i="5" s="1"/>
  <c r="I233" i="4"/>
  <c r="K233" i="4" s="1"/>
  <c r="O269" i="5"/>
  <c r="L317" i="5"/>
  <c r="M122" i="4"/>
  <c r="P122" i="4" s="1"/>
  <c r="N91" i="5"/>
  <c r="P91" i="5" s="1"/>
  <c r="L134" i="5"/>
  <c r="L132" i="5" s="1"/>
  <c r="O132" i="5" s="1"/>
  <c r="M300" i="5"/>
  <c r="M298" i="5" s="1"/>
  <c r="L300" i="5"/>
  <c r="K309" i="5"/>
  <c r="P350" i="5"/>
  <c r="K369" i="5"/>
  <c r="J364" i="5"/>
  <c r="N404" i="5"/>
  <c r="N402" i="5" s="1"/>
  <c r="O472" i="5"/>
  <c r="K593" i="5"/>
  <c r="L687" i="5"/>
  <c r="L685" i="5" s="1"/>
  <c r="O685" i="5" s="1"/>
  <c r="M395" i="4"/>
  <c r="P395" i="4" s="1"/>
  <c r="L135" i="5"/>
  <c r="O135" i="5" s="1"/>
  <c r="L301" i="5"/>
  <c r="O301" i="5" s="1"/>
  <c r="K370" i="5"/>
  <c r="M408" i="5"/>
  <c r="P408" i="5" s="1"/>
  <c r="O690" i="5"/>
  <c r="L68" i="5"/>
  <c r="L72" i="5"/>
  <c r="O72" i="5" s="1"/>
  <c r="I314" i="5"/>
  <c r="K314" i="5" s="1"/>
  <c r="K325" i="5"/>
  <c r="L43" i="5"/>
  <c r="L47" i="5"/>
  <c r="O47" i="5" s="1"/>
  <c r="P189" i="5"/>
  <c r="M187" i="5"/>
  <c r="P187" i="5" s="1"/>
  <c r="L217" i="5"/>
  <c r="O217" i="5" s="1"/>
  <c r="K244" i="5"/>
  <c r="I233" i="5"/>
  <c r="K233" i="5" s="1"/>
  <c r="J288" i="5"/>
  <c r="K288" i="5" s="1"/>
  <c r="I275" i="5"/>
  <c r="M331" i="5"/>
  <c r="P333" i="5"/>
  <c r="M330" i="5"/>
  <c r="M328" i="5" s="1"/>
  <c r="J721" i="5"/>
  <c r="P58" i="4"/>
  <c r="M151" i="4"/>
  <c r="M149" i="4" s="1"/>
  <c r="P46" i="5"/>
  <c r="P58" i="5"/>
  <c r="M56" i="5"/>
  <c r="P56" i="5" s="1"/>
  <c r="N135" i="5"/>
  <c r="N134" i="5"/>
  <c r="N132" i="5" s="1"/>
  <c r="M134" i="5"/>
  <c r="M138" i="5"/>
  <c r="P138" i="5" s="1"/>
  <c r="P173" i="5"/>
  <c r="M167" i="5"/>
  <c r="M171" i="5"/>
  <c r="P171" i="5" s="1"/>
  <c r="N183" i="5"/>
  <c r="N181" i="5" s="1"/>
  <c r="N184" i="5"/>
  <c r="O184" i="5" s="1"/>
  <c r="N263" i="5"/>
  <c r="N264" i="5"/>
  <c r="O264" i="5" s="1"/>
  <c r="P397" i="5"/>
  <c r="K800" i="5"/>
  <c r="I785" i="5"/>
  <c r="K785" i="5" s="1"/>
  <c r="O93" i="5"/>
  <c r="L91" i="5"/>
  <c r="I86" i="4"/>
  <c r="K86" i="4" s="1"/>
  <c r="K204" i="4"/>
  <c r="M280" i="4"/>
  <c r="M283" i="4"/>
  <c r="P283" i="4" s="1"/>
  <c r="K340" i="4"/>
  <c r="M347" i="4"/>
  <c r="M345" i="4" s="1"/>
  <c r="O49" i="5"/>
  <c r="M318" i="5"/>
  <c r="P318" i="5" s="1"/>
  <c r="P320" i="5"/>
  <c r="P407" i="5"/>
  <c r="M405" i="5"/>
  <c r="P405" i="5" s="1"/>
  <c r="M404" i="5"/>
  <c r="O660" i="5"/>
  <c r="L657" i="5"/>
  <c r="O657" i="5" s="1"/>
  <c r="L688" i="4"/>
  <c r="O690" i="4"/>
  <c r="M68" i="5"/>
  <c r="M69" i="5"/>
  <c r="P69" i="5" s="1"/>
  <c r="O96" i="5"/>
  <c r="L94" i="5"/>
  <c r="O94" i="5" s="1"/>
  <c r="K99" i="5"/>
  <c r="I87" i="5"/>
  <c r="K87" i="5" s="1"/>
  <c r="I148" i="5"/>
  <c r="K148" i="5" s="1"/>
  <c r="K159" i="5"/>
  <c r="N304" i="5"/>
  <c r="I364" i="5"/>
  <c r="J537" i="5"/>
  <c r="K538" i="5"/>
  <c r="N43" i="5"/>
  <c r="N41" i="5" s="1"/>
  <c r="P282" i="5"/>
  <c r="K378" i="5"/>
  <c r="K340" i="5"/>
  <c r="M347" i="5"/>
  <c r="M345" i="5" s="1"/>
  <c r="K379" i="5"/>
  <c r="L395" i="5"/>
  <c r="O395" i="5" s="1"/>
  <c r="L469" i="5"/>
  <c r="L467" i="5" s="1"/>
  <c r="L525" i="5"/>
  <c r="O525" i="5" s="1"/>
  <c r="I559" i="5"/>
  <c r="I543" i="5" s="1"/>
  <c r="K543" i="5" s="1"/>
  <c r="P44" i="5"/>
  <c r="M26" i="5"/>
  <c r="M16" i="5" s="1"/>
  <c r="O186" i="5"/>
  <c r="L230" i="5"/>
  <c r="J327" i="5"/>
  <c r="K327" i="5" s="1"/>
  <c r="K360" i="5"/>
  <c r="I628" i="5"/>
  <c r="K628" i="5" s="1"/>
  <c r="K647" i="5"/>
  <c r="J722" i="5"/>
  <c r="O46" i="5"/>
  <c r="N26" i="5"/>
  <c r="N16" i="5" s="1"/>
  <c r="N14" i="5" s="1"/>
  <c r="O280" i="5"/>
  <c r="K673" i="5"/>
  <c r="K821" i="5"/>
  <c r="K827" i="5"/>
  <c r="P120" i="5"/>
  <c r="L125" i="5"/>
  <c r="O125" i="5" s="1"/>
  <c r="O127" i="5"/>
  <c r="K651" i="4"/>
  <c r="I628" i="4"/>
  <c r="K628" i="4" s="1"/>
  <c r="O15" i="5"/>
  <c r="K78" i="5"/>
  <c r="I76" i="5"/>
  <c r="O170" i="5"/>
  <c r="L168" i="5"/>
  <c r="O168" i="5" s="1"/>
  <c r="L167" i="5"/>
  <c r="O167" i="5" s="1"/>
  <c r="P186" i="5"/>
  <c r="M183" i="5"/>
  <c r="M184" i="5"/>
  <c r="L632" i="4"/>
  <c r="O632" i="4" s="1"/>
  <c r="O634" i="4"/>
  <c r="N121" i="4"/>
  <c r="N119" i="4" s="1"/>
  <c r="N122" i="4"/>
  <c r="L321" i="4"/>
  <c r="O321" i="4" s="1"/>
  <c r="O323" i="4"/>
  <c r="L301" i="4"/>
  <c r="L300" i="4"/>
  <c r="L298" i="4" s="1"/>
  <c r="N43" i="4"/>
  <c r="N41" i="4" s="1"/>
  <c r="N19" i="5"/>
  <c r="N12" i="5"/>
  <c r="M264" i="5"/>
  <c r="P264" i="5" s="1"/>
  <c r="P266" i="5"/>
  <c r="M125" i="5"/>
  <c r="P125" i="5" s="1"/>
  <c r="L238" i="5"/>
  <c r="P280" i="5"/>
  <c r="L789" i="5"/>
  <c r="O789" i="5" s="1"/>
  <c r="O791" i="5"/>
  <c r="L788" i="5"/>
  <c r="L33" i="5"/>
  <c r="K287" i="4"/>
  <c r="O303" i="4"/>
  <c r="P336" i="4"/>
  <c r="M12" i="5"/>
  <c r="M19" i="5"/>
  <c r="L56" i="5"/>
  <c r="O56" i="5" s="1"/>
  <c r="O58" i="5"/>
  <c r="K100" i="5"/>
  <c r="M151" i="5"/>
  <c r="P151" i="5" s="1"/>
  <c r="L187" i="5"/>
  <c r="O187" i="5" s="1"/>
  <c r="O266" i="5"/>
  <c r="L408" i="5"/>
  <c r="O408" i="5" s="1"/>
  <c r="O410" i="5"/>
  <c r="I434" i="5"/>
  <c r="K440" i="5"/>
  <c r="O755" i="5"/>
  <c r="L754" i="5"/>
  <c r="O754" i="5" s="1"/>
  <c r="N68" i="4"/>
  <c r="N66" i="4" s="1"/>
  <c r="O807" i="5"/>
  <c r="L805" i="5"/>
  <c r="O805" i="5" s="1"/>
  <c r="L121" i="1"/>
  <c r="L119" i="1" s="1"/>
  <c r="N43" i="2"/>
  <c r="N41" i="2" s="1"/>
  <c r="N404" i="4"/>
  <c r="N402" i="4" s="1"/>
  <c r="L525" i="4"/>
  <c r="O525" i="4" s="1"/>
  <c r="L23" i="5"/>
  <c r="L29" i="5"/>
  <c r="I86" i="5"/>
  <c r="K86" i="5" s="1"/>
  <c r="K98" i="5"/>
  <c r="M121" i="5"/>
  <c r="P121" i="5" s="1"/>
  <c r="L152" i="5"/>
  <c r="O152" i="5" s="1"/>
  <c r="O154" i="5"/>
  <c r="L183" i="5"/>
  <c r="K204" i="5"/>
  <c r="I197" i="5"/>
  <c r="K197" i="5" s="1"/>
  <c r="M263" i="5"/>
  <c r="P263" i="5" s="1"/>
  <c r="M267" i="5"/>
  <c r="P267" i="5" s="1"/>
  <c r="P269" i="5"/>
  <c r="O299" i="5"/>
  <c r="P323" i="5"/>
  <c r="M317" i="5"/>
  <c r="N392" i="5"/>
  <c r="N391" i="5"/>
  <c r="N389" i="5" s="1"/>
  <c r="P32" i="5"/>
  <c r="M29" i="5"/>
  <c r="P756" i="5"/>
  <c r="M754" i="5"/>
  <c r="P754" i="5" s="1"/>
  <c r="I190" i="2"/>
  <c r="K190" i="2" s="1"/>
  <c r="I77" i="4"/>
  <c r="K77" i="4" s="1"/>
  <c r="P184" i="4"/>
  <c r="L405" i="4"/>
  <c r="O405" i="4" s="1"/>
  <c r="K462" i="4"/>
  <c r="L469" i="4"/>
  <c r="L467" i="4" s="1"/>
  <c r="O467" i="4" s="1"/>
  <c r="K822" i="4"/>
  <c r="K825" i="4"/>
  <c r="K828" i="4"/>
  <c r="L9" i="5"/>
  <c r="M23" i="5"/>
  <c r="M31" i="5"/>
  <c r="P31" i="5" s="1"/>
  <c r="P54" i="5"/>
  <c r="N23" i="5"/>
  <c r="N21" i="5" s="1"/>
  <c r="L59" i="5"/>
  <c r="O59" i="5" s="1"/>
  <c r="L26" i="5"/>
  <c r="O61" i="5"/>
  <c r="L122" i="5"/>
  <c r="O122" i="5" s="1"/>
  <c r="O124" i="5"/>
  <c r="I164" i="5"/>
  <c r="K164" i="5" s="1"/>
  <c r="L171" i="5"/>
  <c r="O171" i="5" s="1"/>
  <c r="I190" i="5"/>
  <c r="K190" i="5" s="1"/>
  <c r="L228" i="5"/>
  <c r="L249" i="5"/>
  <c r="O249" i="5" s="1"/>
  <c r="M321" i="5"/>
  <c r="P321" i="5" s="1"/>
  <c r="K355" i="4"/>
  <c r="K725" i="4"/>
  <c r="O35" i="5"/>
  <c r="O44" i="5"/>
  <c r="P59" i="5"/>
  <c r="P61" i="5"/>
  <c r="I77" i="5"/>
  <c r="K81" i="5"/>
  <c r="I112" i="5"/>
  <c r="K112" i="5" s="1"/>
  <c r="P150" i="5"/>
  <c r="L155" i="5"/>
  <c r="O155" i="5" s="1"/>
  <c r="O157" i="5"/>
  <c r="O182" i="5"/>
  <c r="L209" i="5"/>
  <c r="O209" i="5" s="1"/>
  <c r="O333" i="5"/>
  <c r="N331" i="5"/>
  <c r="O331" i="5" s="1"/>
  <c r="N330" i="5"/>
  <c r="O350" i="5"/>
  <c r="N348" i="5"/>
  <c r="N347" i="5"/>
  <c r="O431" i="5"/>
  <c r="L421" i="5"/>
  <c r="L429" i="5"/>
  <c r="O429" i="5" s="1"/>
  <c r="O336" i="5"/>
  <c r="N334" i="5"/>
  <c r="P334" i="5" s="1"/>
  <c r="O353" i="5"/>
  <c r="N351" i="5"/>
  <c r="O351" i="5" s="1"/>
  <c r="P772" i="5"/>
  <c r="M770" i="5"/>
  <c r="P770" i="5" s="1"/>
  <c r="L318" i="5"/>
  <c r="O318" i="5" s="1"/>
  <c r="O320" i="5"/>
  <c r="P336" i="5"/>
  <c r="P353" i="5"/>
  <c r="N544" i="5"/>
  <c r="L639" i="5"/>
  <c r="O639" i="5" s="1"/>
  <c r="O641" i="5"/>
  <c r="L631" i="5"/>
  <c r="O771" i="5"/>
  <c r="L770" i="5"/>
  <c r="O770" i="5" s="1"/>
  <c r="N807" i="5"/>
  <c r="N805" i="5" s="1"/>
  <c r="N808" i="5"/>
  <c r="I237" i="5"/>
  <c r="L279" i="5"/>
  <c r="K355" i="5"/>
  <c r="K381" i="5"/>
  <c r="L526" i="5"/>
  <c r="O526" i="5" s="1"/>
  <c r="O528" i="5"/>
  <c r="N655" i="5"/>
  <c r="P739" i="5"/>
  <c r="M737" i="5"/>
  <c r="P737" i="5" s="1"/>
  <c r="O285" i="5"/>
  <c r="P303" i="5"/>
  <c r="O316" i="5"/>
  <c r="L321" i="5"/>
  <c r="O321" i="5" s="1"/>
  <c r="O323" i="5"/>
  <c r="O456" i="5"/>
  <c r="L446" i="5"/>
  <c r="P545" i="5"/>
  <c r="M544" i="5"/>
  <c r="P544" i="5" s="1"/>
  <c r="O738" i="5"/>
  <c r="L737" i="5"/>
  <c r="O737" i="5" s="1"/>
  <c r="O656" i="5"/>
  <c r="K674" i="5"/>
  <c r="L555" i="5"/>
  <c r="O555" i="5" s="1"/>
  <c r="I654" i="5"/>
  <c r="K654" i="5" s="1"/>
  <c r="L658" i="5"/>
  <c r="O658" i="5" s="1"/>
  <c r="K675" i="5"/>
  <c r="J433" i="5"/>
  <c r="N469" i="5"/>
  <c r="L546" i="5"/>
  <c r="N121" i="3"/>
  <c r="N119" i="3" s="1"/>
  <c r="L134" i="3"/>
  <c r="O134" i="3" s="1"/>
  <c r="O135" i="4"/>
  <c r="K176" i="4"/>
  <c r="K224" i="4"/>
  <c r="L230" i="4"/>
  <c r="I275" i="4"/>
  <c r="K325" i="4"/>
  <c r="L263" i="4"/>
  <c r="L261" i="4" s="1"/>
  <c r="N263" i="3"/>
  <c r="N261" i="3" s="1"/>
  <c r="M267" i="3"/>
  <c r="P267" i="3" s="1"/>
  <c r="N55" i="4"/>
  <c r="N53" i="4" s="1"/>
  <c r="L187" i="4"/>
  <c r="O187" i="4" s="1"/>
  <c r="N301" i="4"/>
  <c r="L304" i="4"/>
  <c r="O304" i="4" s="1"/>
  <c r="L347" i="4"/>
  <c r="L345" i="4" s="1"/>
  <c r="K369" i="4"/>
  <c r="L404" i="4"/>
  <c r="O404" i="4" s="1"/>
  <c r="K821" i="4"/>
  <c r="K824" i="4"/>
  <c r="K827" i="4"/>
  <c r="N151" i="1"/>
  <c r="N149" i="1" s="1"/>
  <c r="L167" i="2"/>
  <c r="L165" i="2" s="1"/>
  <c r="L279" i="3"/>
  <c r="O279" i="3" s="1"/>
  <c r="L33" i="4"/>
  <c r="L31" i="4" s="1"/>
  <c r="M43" i="4"/>
  <c r="L151" i="4"/>
  <c r="M321" i="4"/>
  <c r="P321" i="4" s="1"/>
  <c r="L330" i="4"/>
  <c r="L328" i="4" s="1"/>
  <c r="N347" i="4"/>
  <c r="N405" i="4"/>
  <c r="O410" i="4"/>
  <c r="K338" i="2"/>
  <c r="O264" i="3"/>
  <c r="N300" i="3"/>
  <c r="N298" i="3" s="1"/>
  <c r="O186" i="4"/>
  <c r="I237" i="4"/>
  <c r="K237" i="4" s="1"/>
  <c r="K360" i="2"/>
  <c r="K369" i="2"/>
  <c r="K370" i="3"/>
  <c r="J721" i="2"/>
  <c r="K721" i="2" s="1"/>
  <c r="I443" i="2"/>
  <c r="K443" i="2" s="1"/>
  <c r="L231" i="3"/>
  <c r="K287" i="3"/>
  <c r="K381" i="3"/>
  <c r="M56" i="4"/>
  <c r="O96" i="4"/>
  <c r="L134" i="4"/>
  <c r="L132" i="4" s="1"/>
  <c r="M152" i="4"/>
  <c r="M155" i="4"/>
  <c r="P155" i="4" s="1"/>
  <c r="O170" i="4"/>
  <c r="L184" i="4"/>
  <c r="O184" i="4" s="1"/>
  <c r="P189" i="4"/>
  <c r="L217" i="4"/>
  <c r="O217" i="4" s="1"/>
  <c r="I297" i="4"/>
  <c r="K297" i="4" s="1"/>
  <c r="M348" i="4"/>
  <c r="K365" i="4"/>
  <c r="L429" i="4"/>
  <c r="O429" i="4" s="1"/>
  <c r="K675" i="4"/>
  <c r="K379" i="3"/>
  <c r="K462" i="3"/>
  <c r="N56" i="4"/>
  <c r="O56" i="4" s="1"/>
  <c r="M134" i="4"/>
  <c r="M132" i="4" s="1"/>
  <c r="L167" i="4"/>
  <c r="L165" i="4" s="1"/>
  <c r="N183" i="4"/>
  <c r="N181" i="4" s="1"/>
  <c r="I190" i="4"/>
  <c r="K190" i="4" s="1"/>
  <c r="L198" i="4"/>
  <c r="O198" i="4" s="1"/>
  <c r="M317" i="4"/>
  <c r="P317" i="4" s="1"/>
  <c r="I364" i="4"/>
  <c r="K370" i="4"/>
  <c r="N391" i="4"/>
  <c r="N389" i="4" s="1"/>
  <c r="K669" i="4"/>
  <c r="K800" i="4"/>
  <c r="K174" i="4"/>
  <c r="O397" i="4"/>
  <c r="L229" i="4"/>
  <c r="L421" i="4"/>
  <c r="O421" i="4" s="1"/>
  <c r="L657" i="4"/>
  <c r="L655" i="4" s="1"/>
  <c r="O655" i="4" s="1"/>
  <c r="K823" i="4"/>
  <c r="K826" i="4"/>
  <c r="L209" i="4"/>
  <c r="O209" i="4" s="1"/>
  <c r="P353" i="4"/>
  <c r="K385" i="4"/>
  <c r="L546" i="4"/>
  <c r="L544" i="4" s="1"/>
  <c r="I654" i="4"/>
  <c r="K654" i="4" s="1"/>
  <c r="K720" i="4"/>
  <c r="K723" i="4"/>
  <c r="K288" i="4"/>
  <c r="J275" i="4"/>
  <c r="N152" i="4"/>
  <c r="O152" i="4" s="1"/>
  <c r="I148" i="2"/>
  <c r="K148" i="2" s="1"/>
  <c r="N183" i="3"/>
  <c r="N181" i="3" s="1"/>
  <c r="K669" i="3"/>
  <c r="M44" i="4"/>
  <c r="P44" i="4" s="1"/>
  <c r="M69" i="4"/>
  <c r="P69" i="4" s="1"/>
  <c r="K79" i="4"/>
  <c r="L125" i="4"/>
  <c r="O125" i="4" s="1"/>
  <c r="K146" i="4"/>
  <c r="O154" i="4"/>
  <c r="L171" i="4"/>
  <c r="O171" i="4" s="1"/>
  <c r="P186" i="4"/>
  <c r="L267" i="4"/>
  <c r="O267" i="4" s="1"/>
  <c r="M300" i="4"/>
  <c r="M298" i="4" s="1"/>
  <c r="M318" i="4"/>
  <c r="P318" i="4" s="1"/>
  <c r="J327" i="4"/>
  <c r="K327" i="4" s="1"/>
  <c r="N348" i="4"/>
  <c r="P350" i="4"/>
  <c r="I433" i="4"/>
  <c r="I417" i="4" s="1"/>
  <c r="I434" i="4"/>
  <c r="I418" i="4" s="1"/>
  <c r="K418" i="4" s="1"/>
  <c r="O456" i="4"/>
  <c r="I522" i="4"/>
  <c r="K522" i="4" s="1"/>
  <c r="P124" i="3"/>
  <c r="L151" i="3"/>
  <c r="O151" i="3" s="1"/>
  <c r="L155" i="3"/>
  <c r="O155" i="3" s="1"/>
  <c r="O333" i="3"/>
  <c r="N404" i="3"/>
  <c r="N402" i="3" s="1"/>
  <c r="P410" i="3"/>
  <c r="L55" i="4"/>
  <c r="O58" i="4"/>
  <c r="L90" i="4"/>
  <c r="L88" i="4" s="1"/>
  <c r="O93" i="4"/>
  <c r="P154" i="4"/>
  <c r="N300" i="4"/>
  <c r="N298" i="4" s="1"/>
  <c r="P331" i="4"/>
  <c r="M351" i="4"/>
  <c r="P351" i="4" s="1"/>
  <c r="P407" i="4"/>
  <c r="J433" i="4"/>
  <c r="K438" i="4"/>
  <c r="I592" i="4"/>
  <c r="K592" i="4" s="1"/>
  <c r="K672" i="4"/>
  <c r="L43" i="3"/>
  <c r="L41" i="3" s="1"/>
  <c r="L125" i="3"/>
  <c r="O125" i="3" s="1"/>
  <c r="I297" i="3"/>
  <c r="K297" i="3" s="1"/>
  <c r="L304" i="3"/>
  <c r="O304" i="3" s="1"/>
  <c r="P333" i="3"/>
  <c r="L405" i="3"/>
  <c r="O405" i="3" s="1"/>
  <c r="O61" i="4"/>
  <c r="L155" i="4"/>
  <c r="O155" i="4" s="1"/>
  <c r="L249" i="4"/>
  <c r="O249" i="4" s="1"/>
  <c r="N330" i="4"/>
  <c r="N328" i="4" s="1"/>
  <c r="K359" i="4"/>
  <c r="K379" i="4"/>
  <c r="O394" i="4"/>
  <c r="L446" i="4"/>
  <c r="O446" i="4" s="1"/>
  <c r="I559" i="4"/>
  <c r="K559" i="4" s="1"/>
  <c r="O660" i="4"/>
  <c r="K673" i="4"/>
  <c r="J465" i="1"/>
  <c r="K465" i="1" s="1"/>
  <c r="K672" i="3"/>
  <c r="L36" i="4"/>
  <c r="M55" i="4"/>
  <c r="N23" i="4"/>
  <c r="N13" i="4" s="1"/>
  <c r="M151" i="2"/>
  <c r="M149" i="2" s="1"/>
  <c r="L525" i="2"/>
  <c r="O525" i="2" s="1"/>
  <c r="M167" i="3"/>
  <c r="M165" i="3" s="1"/>
  <c r="I208" i="3"/>
  <c r="K208" i="3" s="1"/>
  <c r="N317" i="3"/>
  <c r="N315" i="3" s="1"/>
  <c r="N330" i="3"/>
  <c r="N328" i="3" s="1"/>
  <c r="K359" i="3"/>
  <c r="L687" i="3"/>
  <c r="O687" i="3" s="1"/>
  <c r="L43" i="4"/>
  <c r="M59" i="4"/>
  <c r="P59" i="4" s="1"/>
  <c r="P303" i="4"/>
  <c r="N334" i="4"/>
  <c r="P334" i="4" s="1"/>
  <c r="K360" i="4"/>
  <c r="J721" i="4"/>
  <c r="K721" i="4" s="1"/>
  <c r="K374" i="4"/>
  <c r="J364" i="4"/>
  <c r="O189" i="3"/>
  <c r="L391" i="3"/>
  <c r="O391" i="3" s="1"/>
  <c r="L33" i="3"/>
  <c r="O33" i="3" s="1"/>
  <c r="L688" i="3"/>
  <c r="O688" i="3" s="1"/>
  <c r="N15" i="4"/>
  <c r="N19" i="4"/>
  <c r="N12" i="4"/>
  <c r="L69" i="4"/>
  <c r="O69" i="4" s="1"/>
  <c r="O71" i="4"/>
  <c r="L68" i="4"/>
  <c r="N138" i="4"/>
  <c r="N26" i="4"/>
  <c r="N16" i="4" s="1"/>
  <c r="P140" i="4"/>
  <c r="I208" i="4"/>
  <c r="K208" i="4" s="1"/>
  <c r="P282" i="4"/>
  <c r="N280" i="4"/>
  <c r="N279" i="4"/>
  <c r="L470" i="4"/>
  <c r="O470" i="4" s="1"/>
  <c r="O472" i="4"/>
  <c r="P525" i="4"/>
  <c r="M523" i="4"/>
  <c r="P523" i="4" s="1"/>
  <c r="P127" i="4"/>
  <c r="M121" i="4"/>
  <c r="O285" i="4"/>
  <c r="L283" i="4"/>
  <c r="O283" i="4" s="1"/>
  <c r="N231" i="1"/>
  <c r="I235" i="1"/>
  <c r="J143" i="3"/>
  <c r="J131" i="3" s="1"/>
  <c r="I216" i="3"/>
  <c r="K216" i="3" s="1"/>
  <c r="I364" i="3"/>
  <c r="M29" i="4"/>
  <c r="L44" i="4"/>
  <c r="O44" i="4" s="1"/>
  <c r="L23" i="4"/>
  <c r="O46" i="4"/>
  <c r="L72" i="4"/>
  <c r="O72" i="4" s="1"/>
  <c r="O74" i="4"/>
  <c r="O140" i="4"/>
  <c r="I148" i="4"/>
  <c r="K148" i="4" s="1"/>
  <c r="K159" i="4"/>
  <c r="O282" i="4"/>
  <c r="K381" i="4"/>
  <c r="N421" i="4"/>
  <c r="N33" i="4"/>
  <c r="N30" i="4" s="1"/>
  <c r="N422" i="4"/>
  <c r="P22" i="4"/>
  <c r="M19" i="4"/>
  <c r="M12" i="4"/>
  <c r="M330" i="4"/>
  <c r="P333" i="4"/>
  <c r="N279" i="1"/>
  <c r="N277" i="1" s="1"/>
  <c r="O184" i="3"/>
  <c r="N29" i="4"/>
  <c r="M23" i="4"/>
  <c r="P46" i="4"/>
  <c r="L47" i="4"/>
  <c r="O47" i="4" s="1"/>
  <c r="O49" i="4"/>
  <c r="P74" i="4"/>
  <c r="M68" i="4"/>
  <c r="O124" i="4"/>
  <c r="L121" i="4"/>
  <c r="O121" i="4" s="1"/>
  <c r="K225" i="4"/>
  <c r="L279" i="4"/>
  <c r="P421" i="4"/>
  <c r="M419" i="4"/>
  <c r="N263" i="4"/>
  <c r="N264" i="4"/>
  <c r="O264" i="4" s="1"/>
  <c r="O390" i="4"/>
  <c r="L231" i="2"/>
  <c r="O266" i="2"/>
  <c r="L68" i="3"/>
  <c r="O68" i="3" s="1"/>
  <c r="L167" i="3"/>
  <c r="L165" i="3" s="1"/>
  <c r="P184" i="3"/>
  <c r="K255" i="3"/>
  <c r="M279" i="3"/>
  <c r="M277" i="3" s="1"/>
  <c r="P277" i="3" s="1"/>
  <c r="L470" i="3"/>
  <c r="O470" i="3" s="1"/>
  <c r="N31" i="4"/>
  <c r="O42" i="4"/>
  <c r="P49" i="4"/>
  <c r="M26" i="4"/>
  <c r="M24" i="4" s="1"/>
  <c r="M94" i="4"/>
  <c r="P94" i="4" s="1"/>
  <c r="P96" i="4"/>
  <c r="M90" i="4"/>
  <c r="M135" i="4"/>
  <c r="P135" i="4" s="1"/>
  <c r="P137" i="4"/>
  <c r="P182" i="4"/>
  <c r="K271" i="4"/>
  <c r="I260" i="4"/>
  <c r="K260" i="4" s="1"/>
  <c r="P316" i="4"/>
  <c r="P394" i="4"/>
  <c r="M391" i="4"/>
  <c r="M121" i="2"/>
  <c r="M119" i="2" s="1"/>
  <c r="P119" i="2" s="1"/>
  <c r="M125" i="2"/>
  <c r="P125" i="2" s="1"/>
  <c r="K729" i="2"/>
  <c r="M43" i="3"/>
  <c r="M68" i="3"/>
  <c r="P68" i="3" s="1"/>
  <c r="N279" i="3"/>
  <c r="N277" i="3" s="1"/>
  <c r="I314" i="3"/>
  <c r="K314" i="3" s="1"/>
  <c r="M391" i="3"/>
  <c r="P391" i="3" s="1"/>
  <c r="K674" i="3"/>
  <c r="K673" i="3"/>
  <c r="K708" i="3"/>
  <c r="K729" i="3"/>
  <c r="K823" i="3"/>
  <c r="K826" i="3"/>
  <c r="L26" i="4"/>
  <c r="M47" i="4"/>
  <c r="P47" i="4" s="1"/>
  <c r="I112" i="4"/>
  <c r="K112" i="4" s="1"/>
  <c r="O137" i="4"/>
  <c r="N134" i="4"/>
  <c r="N132" i="4" s="1"/>
  <c r="K145" i="4"/>
  <c r="I143" i="4"/>
  <c r="J143" i="4"/>
  <c r="J131" i="4" s="1"/>
  <c r="M171" i="4"/>
  <c r="P171" i="4" s="1"/>
  <c r="P173" i="4"/>
  <c r="M167" i="4"/>
  <c r="L228" i="4"/>
  <c r="M264" i="4"/>
  <c r="P264" i="4" s="1"/>
  <c r="P266" i="4"/>
  <c r="M263" i="4"/>
  <c r="O320" i="4"/>
  <c r="L317" i="4"/>
  <c r="M392" i="4"/>
  <c r="P392" i="4" s="1"/>
  <c r="M408" i="4"/>
  <c r="P408" i="4" s="1"/>
  <c r="P410" i="4"/>
  <c r="M404" i="4"/>
  <c r="P404" i="4" s="1"/>
  <c r="K699" i="3"/>
  <c r="O59" i="4"/>
  <c r="N69" i="4"/>
  <c r="I76" i="4"/>
  <c r="N91" i="4"/>
  <c r="P91" i="4" s="1"/>
  <c r="N168" i="4"/>
  <c r="P168" i="4" s="1"/>
  <c r="N318" i="4"/>
  <c r="N317" i="4"/>
  <c r="N315" i="4" s="1"/>
  <c r="L348" i="4"/>
  <c r="O350" i="4"/>
  <c r="K362" i="4"/>
  <c r="K372" i="4"/>
  <c r="P772" i="4"/>
  <c r="M770" i="4"/>
  <c r="P770" i="4" s="1"/>
  <c r="O403" i="4"/>
  <c r="N419" i="4"/>
  <c r="O788" i="4"/>
  <c r="L786" i="4"/>
  <c r="O786" i="4" s="1"/>
  <c r="N90" i="4"/>
  <c r="K99" i="4"/>
  <c r="N167" i="4"/>
  <c r="L238" i="4"/>
  <c r="K244" i="4"/>
  <c r="P299" i="4"/>
  <c r="L351" i="4"/>
  <c r="O351" i="4" s="1"/>
  <c r="O353" i="4"/>
  <c r="L9" i="4"/>
  <c r="L15" i="4"/>
  <c r="L29" i="4"/>
  <c r="M30" i="4"/>
  <c r="P30" i="4" s="1"/>
  <c r="P93" i="4"/>
  <c r="P170" i="4"/>
  <c r="M183" i="4"/>
  <c r="J226" i="4"/>
  <c r="J180" i="4" s="1"/>
  <c r="O266" i="4"/>
  <c r="P269" i="4"/>
  <c r="P306" i="4"/>
  <c r="L331" i="4"/>
  <c r="O331" i="4" s="1"/>
  <c r="O333" i="4"/>
  <c r="O336" i="4"/>
  <c r="L391" i="4"/>
  <c r="O391" i="4" s="1"/>
  <c r="O420" i="4"/>
  <c r="L422" i="4"/>
  <c r="O424" i="4"/>
  <c r="O445" i="4"/>
  <c r="N447" i="4"/>
  <c r="O447" i="4" s="1"/>
  <c r="K466" i="4"/>
  <c r="N523" i="4"/>
  <c r="J537" i="4"/>
  <c r="J522" i="4" s="1"/>
  <c r="K539" i="4"/>
  <c r="N685" i="4"/>
  <c r="K701" i="4"/>
  <c r="J722" i="4"/>
  <c r="K722" i="4" s="1"/>
  <c r="K728" i="4"/>
  <c r="O738" i="4"/>
  <c r="L737" i="4"/>
  <c r="O737" i="4" s="1"/>
  <c r="O755" i="4"/>
  <c r="L754" i="4"/>
  <c r="O754" i="4" s="1"/>
  <c r="O771" i="4"/>
  <c r="L770" i="4"/>
  <c r="O770" i="4" s="1"/>
  <c r="L789" i="4"/>
  <c r="O789" i="4" s="1"/>
  <c r="O791" i="4"/>
  <c r="O807" i="4"/>
  <c r="L805" i="4"/>
  <c r="O805" i="4" s="1"/>
  <c r="N807" i="4"/>
  <c r="N805" i="4" s="1"/>
  <c r="N808" i="4"/>
  <c r="L639" i="4"/>
  <c r="O639" i="4" s="1"/>
  <c r="O641" i="4"/>
  <c r="L631" i="4"/>
  <c r="O687" i="4"/>
  <c r="L685" i="4"/>
  <c r="O685" i="4" s="1"/>
  <c r="P446" i="4"/>
  <c r="M444" i="4"/>
  <c r="P444" i="4" s="1"/>
  <c r="L477" i="4"/>
  <c r="O477" i="4" s="1"/>
  <c r="O479" i="4"/>
  <c r="O524" i="4"/>
  <c r="N526" i="4"/>
  <c r="N544" i="4"/>
  <c r="O549" i="4"/>
  <c r="N546" i="4"/>
  <c r="N547" i="4"/>
  <c r="O547" i="4" s="1"/>
  <c r="P739" i="4"/>
  <c r="M737" i="4"/>
  <c r="P737" i="4" s="1"/>
  <c r="P756" i="4"/>
  <c r="M754" i="4"/>
  <c r="P754" i="4" s="1"/>
  <c r="I442" i="4"/>
  <c r="K442" i="4" s="1"/>
  <c r="O449" i="4"/>
  <c r="O528" i="4"/>
  <c r="N688" i="4"/>
  <c r="L555" i="4"/>
  <c r="O555" i="4" s="1"/>
  <c r="N317" i="2"/>
  <c r="N315" i="2" s="1"/>
  <c r="N43" i="3"/>
  <c r="N41" i="3" s="1"/>
  <c r="L90" i="3"/>
  <c r="L88" i="3" s="1"/>
  <c r="K146" i="3"/>
  <c r="M168" i="3"/>
  <c r="M171" i="3"/>
  <c r="P171" i="3" s="1"/>
  <c r="I190" i="3"/>
  <c r="K190" i="3" s="1"/>
  <c r="L249" i="3"/>
  <c r="O249" i="3" s="1"/>
  <c r="K340" i="3"/>
  <c r="L392" i="3"/>
  <c r="O392" i="3" s="1"/>
  <c r="N405" i="3"/>
  <c r="K78" i="1"/>
  <c r="K81" i="1"/>
  <c r="K84" i="1"/>
  <c r="P184" i="2"/>
  <c r="L228" i="2"/>
  <c r="P127" i="3"/>
  <c r="N134" i="3"/>
  <c r="N132" i="3" s="1"/>
  <c r="I148" i="3"/>
  <c r="K148" i="3" s="1"/>
  <c r="L217" i="3"/>
  <c r="O217" i="3" s="1"/>
  <c r="N347" i="3"/>
  <c r="N345" i="3" s="1"/>
  <c r="K355" i="3"/>
  <c r="M392" i="3"/>
  <c r="P392" i="3" s="1"/>
  <c r="J721" i="3"/>
  <c r="K721" i="3" s="1"/>
  <c r="K824" i="3"/>
  <c r="I297" i="2"/>
  <c r="K297" i="2" s="1"/>
  <c r="L391" i="2"/>
  <c r="O391" i="2" s="1"/>
  <c r="L135" i="3"/>
  <c r="O135" i="3" s="1"/>
  <c r="O137" i="3"/>
  <c r="L238" i="3"/>
  <c r="O238" i="3" s="1"/>
  <c r="N151" i="2"/>
  <c r="N149" i="2" s="1"/>
  <c r="O407" i="2"/>
  <c r="L152" i="3"/>
  <c r="O152" i="3" s="1"/>
  <c r="L209" i="3"/>
  <c r="O209" i="3" s="1"/>
  <c r="L229" i="3"/>
  <c r="P285" i="3"/>
  <c r="K372" i="3"/>
  <c r="K378" i="3"/>
  <c r="O431" i="3"/>
  <c r="O456" i="3"/>
  <c r="O535" i="3"/>
  <c r="N167" i="3"/>
  <c r="N55" i="3"/>
  <c r="N53" i="3" s="1"/>
  <c r="O56" i="3"/>
  <c r="P61" i="3"/>
  <c r="N68" i="3"/>
  <c r="N66" i="3" s="1"/>
  <c r="L72" i="3"/>
  <c r="O72" i="3" s="1"/>
  <c r="M121" i="3"/>
  <c r="P121" i="3" s="1"/>
  <c r="P154" i="3"/>
  <c r="L198" i="3"/>
  <c r="O198" i="3" s="1"/>
  <c r="L230" i="3"/>
  <c r="O320" i="3"/>
  <c r="K338" i="3"/>
  <c r="K700" i="3"/>
  <c r="K725" i="3"/>
  <c r="K143" i="3"/>
  <c r="I131" i="3"/>
  <c r="K131" i="3" s="1"/>
  <c r="N318" i="3"/>
  <c r="M300" i="2"/>
  <c r="M298" i="2" s="1"/>
  <c r="N23" i="3"/>
  <c r="N13" i="3" s="1"/>
  <c r="M90" i="3"/>
  <c r="M88" i="3" s="1"/>
  <c r="N135" i="3"/>
  <c r="L228" i="3"/>
  <c r="M280" i="3"/>
  <c r="P280" i="3" s="1"/>
  <c r="L301" i="3"/>
  <c r="O301" i="3" s="1"/>
  <c r="L331" i="3"/>
  <c r="O331" i="3" s="1"/>
  <c r="N351" i="3"/>
  <c r="P351" i="3" s="1"/>
  <c r="O410" i="3"/>
  <c r="L408" i="3"/>
  <c r="O408" i="3" s="1"/>
  <c r="L639" i="3"/>
  <c r="O639" i="3" s="1"/>
  <c r="L631" i="3"/>
  <c r="O631" i="3" s="1"/>
  <c r="M405" i="2"/>
  <c r="P405" i="2" s="1"/>
  <c r="M90" i="2"/>
  <c r="M88" i="2" s="1"/>
  <c r="K287" i="2"/>
  <c r="N300" i="2"/>
  <c r="M304" i="2"/>
  <c r="P304" i="2" s="1"/>
  <c r="L392" i="2"/>
  <c r="O392" i="2" s="1"/>
  <c r="L26" i="3"/>
  <c r="L24" i="3" s="1"/>
  <c r="N44" i="3"/>
  <c r="O44" i="3" s="1"/>
  <c r="L47" i="3"/>
  <c r="O47" i="3" s="1"/>
  <c r="P58" i="3"/>
  <c r="L69" i="3"/>
  <c r="O69" i="3" s="1"/>
  <c r="M94" i="3"/>
  <c r="P94" i="3" s="1"/>
  <c r="L138" i="3"/>
  <c r="O138" i="3" s="1"/>
  <c r="K145" i="3"/>
  <c r="M151" i="3"/>
  <c r="P151" i="3" s="1"/>
  <c r="P157" i="3"/>
  <c r="I233" i="3"/>
  <c r="K233" i="3" s="1"/>
  <c r="I237" i="3"/>
  <c r="K237" i="3" s="1"/>
  <c r="M264" i="3"/>
  <c r="P264" i="3" s="1"/>
  <c r="L267" i="3"/>
  <c r="O267" i="3" s="1"/>
  <c r="N280" i="3"/>
  <c r="P282" i="3"/>
  <c r="M301" i="3"/>
  <c r="P301" i="3" s="1"/>
  <c r="L317" i="3"/>
  <c r="O317" i="3" s="1"/>
  <c r="O323" i="3"/>
  <c r="M331" i="3"/>
  <c r="P331" i="3" s="1"/>
  <c r="J327" i="3"/>
  <c r="K327" i="3" s="1"/>
  <c r="O641" i="3"/>
  <c r="O152" i="2"/>
  <c r="M392" i="2"/>
  <c r="P392" i="2" s="1"/>
  <c r="K822" i="2"/>
  <c r="K825" i="2"/>
  <c r="K828" i="2"/>
  <c r="M23" i="3"/>
  <c r="M21" i="3" s="1"/>
  <c r="L36" i="3"/>
  <c r="O36" i="3" s="1"/>
  <c r="O49" i="3"/>
  <c r="L59" i="3"/>
  <c r="O59" i="3" s="1"/>
  <c r="O71" i="3"/>
  <c r="L122" i="3"/>
  <c r="O122" i="3" s="1"/>
  <c r="N151" i="3"/>
  <c r="N149" i="3" s="1"/>
  <c r="O186" i="3"/>
  <c r="I260" i="3"/>
  <c r="K260" i="3" s="1"/>
  <c r="L300" i="3"/>
  <c r="M317" i="3"/>
  <c r="M334" i="3"/>
  <c r="P334" i="3" s="1"/>
  <c r="P350" i="3"/>
  <c r="K369" i="3"/>
  <c r="J374" i="3"/>
  <c r="J364" i="3" s="1"/>
  <c r="P397" i="3"/>
  <c r="M395" i="3"/>
  <c r="P395" i="3" s="1"/>
  <c r="M404" i="3"/>
  <c r="P407" i="3"/>
  <c r="I442" i="3"/>
  <c r="K442" i="3" s="1"/>
  <c r="L525" i="3"/>
  <c r="O525" i="3" s="1"/>
  <c r="K576" i="3"/>
  <c r="I559" i="3"/>
  <c r="I543" i="3" s="1"/>
  <c r="K543" i="3" s="1"/>
  <c r="O124" i="1"/>
  <c r="P61" i="2"/>
  <c r="I216" i="2"/>
  <c r="K216" i="2" s="1"/>
  <c r="L321" i="2"/>
  <c r="O321" i="2" s="1"/>
  <c r="L395" i="2"/>
  <c r="O395" i="2" s="1"/>
  <c r="L55" i="3"/>
  <c r="L183" i="3"/>
  <c r="L263" i="3"/>
  <c r="M300" i="3"/>
  <c r="L330" i="3"/>
  <c r="L328" i="3" s="1"/>
  <c r="O353" i="3"/>
  <c r="N392" i="3"/>
  <c r="N391" i="3"/>
  <c r="N389" i="3" s="1"/>
  <c r="I433" i="3"/>
  <c r="K438" i="3"/>
  <c r="I434" i="3"/>
  <c r="O660" i="3"/>
  <c r="L657" i="3"/>
  <c r="P58" i="2"/>
  <c r="K823" i="2"/>
  <c r="K826" i="2"/>
  <c r="M55" i="3"/>
  <c r="O58" i="3"/>
  <c r="I86" i="3"/>
  <c r="K86" i="3" s="1"/>
  <c r="L121" i="3"/>
  <c r="M134" i="3"/>
  <c r="P134" i="3" s="1"/>
  <c r="M183" i="3"/>
  <c r="M263" i="3"/>
  <c r="O266" i="3"/>
  <c r="M304" i="3"/>
  <c r="P304" i="3" s="1"/>
  <c r="M330" i="3"/>
  <c r="L351" i="3"/>
  <c r="P353" i="3"/>
  <c r="K365" i="3"/>
  <c r="L404" i="3"/>
  <c r="O404" i="3" s="1"/>
  <c r="J433" i="3"/>
  <c r="J417" i="3" s="1"/>
  <c r="J722" i="3"/>
  <c r="K722" i="3" s="1"/>
  <c r="L446" i="3"/>
  <c r="O446" i="3" s="1"/>
  <c r="K594" i="3"/>
  <c r="K822" i="3"/>
  <c r="K825" i="3"/>
  <c r="K828" i="3"/>
  <c r="K723" i="3"/>
  <c r="K360" i="3"/>
  <c r="K385" i="3"/>
  <c r="I628" i="3"/>
  <c r="K628" i="3" s="1"/>
  <c r="O12" i="3"/>
  <c r="L9" i="3"/>
  <c r="N9" i="3"/>
  <c r="L249" i="1"/>
  <c r="K258" i="1"/>
  <c r="N183" i="2"/>
  <c r="N181" i="2" s="1"/>
  <c r="L264" i="2"/>
  <c r="O264" i="2" s="1"/>
  <c r="P285" i="2"/>
  <c r="P301" i="2"/>
  <c r="I314" i="2"/>
  <c r="K314" i="2" s="1"/>
  <c r="M330" i="2"/>
  <c r="M328" i="2" s="1"/>
  <c r="M395" i="2"/>
  <c r="P395" i="2" s="1"/>
  <c r="K651" i="2"/>
  <c r="N15" i="3"/>
  <c r="N26" i="3"/>
  <c r="M69" i="3"/>
  <c r="P69" i="3" s="1"/>
  <c r="P71" i="3"/>
  <c r="L280" i="3"/>
  <c r="O280" i="3" s="1"/>
  <c r="O282" i="3"/>
  <c r="L23" i="3"/>
  <c r="L21" i="3" s="1"/>
  <c r="N263" i="2"/>
  <c r="N261" i="2" s="1"/>
  <c r="M56" i="2"/>
  <c r="M59" i="2"/>
  <c r="P59" i="2" s="1"/>
  <c r="O336" i="2"/>
  <c r="O424" i="2"/>
  <c r="O15" i="3"/>
  <c r="O22" i="3"/>
  <c r="O35" i="3"/>
  <c r="I76" i="3"/>
  <c r="K82" i="3"/>
  <c r="O133" i="3"/>
  <c r="M47" i="3"/>
  <c r="P47" i="3" s="1"/>
  <c r="P49" i="3"/>
  <c r="M26" i="3"/>
  <c r="O67" i="3"/>
  <c r="O350" i="3"/>
  <c r="L347" i="3"/>
  <c r="L348" i="3"/>
  <c r="O348" i="3" s="1"/>
  <c r="K372" i="1"/>
  <c r="I208" i="2"/>
  <c r="K208" i="2" s="1"/>
  <c r="M391" i="2"/>
  <c r="P391" i="2" s="1"/>
  <c r="M72" i="3"/>
  <c r="P72" i="3" s="1"/>
  <c r="P74" i="3"/>
  <c r="N90" i="3"/>
  <c r="N88" i="3" s="1"/>
  <c r="I87" i="3"/>
  <c r="K87" i="3" s="1"/>
  <c r="K99" i="3"/>
  <c r="M135" i="3"/>
  <c r="P135" i="3" s="1"/>
  <c r="P137" i="3"/>
  <c r="I174" i="3"/>
  <c r="K176" i="3"/>
  <c r="L283" i="3"/>
  <c r="O283" i="3" s="1"/>
  <c r="O285" i="3"/>
  <c r="J364" i="1"/>
  <c r="K643" i="1"/>
  <c r="K649" i="1"/>
  <c r="I130" i="2"/>
  <c r="K130" i="2" s="1"/>
  <c r="K176" i="2"/>
  <c r="J537" i="2"/>
  <c r="K537" i="2" s="1"/>
  <c r="N19" i="3"/>
  <c r="K79" i="3"/>
  <c r="I77" i="3"/>
  <c r="P89" i="3"/>
  <c r="N91" i="3"/>
  <c r="O91" i="3" s="1"/>
  <c r="P93" i="3"/>
  <c r="O346" i="3"/>
  <c r="K159" i="1"/>
  <c r="O29" i="3"/>
  <c r="O42" i="3"/>
  <c r="M44" i="3"/>
  <c r="P46" i="3"/>
  <c r="P56" i="3"/>
  <c r="I112" i="3"/>
  <c r="K112" i="3" s="1"/>
  <c r="K115" i="3"/>
  <c r="M138" i="3"/>
  <c r="P138" i="3" s="1"/>
  <c r="P140" i="3"/>
  <c r="P166" i="3"/>
  <c r="N168" i="3"/>
  <c r="O168" i="3" s="1"/>
  <c r="P170" i="3"/>
  <c r="P738" i="3"/>
  <c r="M737" i="3"/>
  <c r="P737" i="3" s="1"/>
  <c r="P54" i="3"/>
  <c r="O93" i="3"/>
  <c r="O96" i="3"/>
  <c r="P120" i="3"/>
  <c r="P150" i="3"/>
  <c r="O170" i="3"/>
  <c r="O173" i="3"/>
  <c r="O182" i="3"/>
  <c r="P186" i="3"/>
  <c r="P189" i="3"/>
  <c r="O316" i="3"/>
  <c r="P320" i="3"/>
  <c r="O524" i="3"/>
  <c r="J537" i="3"/>
  <c r="J522" i="3" s="1"/>
  <c r="K539" i="3"/>
  <c r="O686" i="3"/>
  <c r="N737" i="3"/>
  <c r="N414" i="3" s="1"/>
  <c r="N786" i="3"/>
  <c r="O46" i="3"/>
  <c r="K144" i="3"/>
  <c r="I275" i="3"/>
  <c r="K275" i="3" s="1"/>
  <c r="J288" i="3"/>
  <c r="J275" i="3" s="1"/>
  <c r="O329" i="3"/>
  <c r="M348" i="3"/>
  <c r="P348" i="3" s="1"/>
  <c r="L447" i="3"/>
  <c r="O447" i="3" s="1"/>
  <c r="L632" i="3"/>
  <c r="O632" i="3" s="1"/>
  <c r="L754" i="3"/>
  <c r="O754" i="3" s="1"/>
  <c r="P771" i="3"/>
  <c r="M770" i="3"/>
  <c r="P770" i="3" s="1"/>
  <c r="L789" i="3"/>
  <c r="O789" i="3" s="1"/>
  <c r="O791" i="3"/>
  <c r="I785" i="3"/>
  <c r="K785" i="3" s="1"/>
  <c r="K800" i="3"/>
  <c r="K821" i="3"/>
  <c r="K827" i="3"/>
  <c r="M321" i="3"/>
  <c r="P321" i="3" s="1"/>
  <c r="L421" i="3"/>
  <c r="O421" i="3" s="1"/>
  <c r="O479" i="3"/>
  <c r="L469" i="3"/>
  <c r="O469" i="3" s="1"/>
  <c r="N770" i="3"/>
  <c r="O806" i="3"/>
  <c r="L805" i="3"/>
  <c r="O805" i="3" s="1"/>
  <c r="L526" i="3"/>
  <c r="O526" i="3" s="1"/>
  <c r="O528" i="3"/>
  <c r="P755" i="3"/>
  <c r="M754" i="3"/>
  <c r="P754" i="3" s="1"/>
  <c r="M9" i="3"/>
  <c r="M15" i="3"/>
  <c r="M29" i="3"/>
  <c r="I197" i="3"/>
  <c r="K197" i="3" s="1"/>
  <c r="L334" i="3"/>
  <c r="O334" i="3" s="1"/>
  <c r="M347" i="3"/>
  <c r="K362" i="3"/>
  <c r="L395" i="3"/>
  <c r="O395" i="3" s="1"/>
  <c r="L422" i="3"/>
  <c r="O422" i="3" s="1"/>
  <c r="N754" i="3"/>
  <c r="O787" i="3"/>
  <c r="L786" i="3"/>
  <c r="O786" i="3" s="1"/>
  <c r="N789" i="3"/>
  <c r="N805" i="3"/>
  <c r="N505" i="3"/>
  <c r="M523" i="3"/>
  <c r="P523" i="3" s="1"/>
  <c r="K675" i="3"/>
  <c r="M685" i="3"/>
  <c r="P685" i="3" s="1"/>
  <c r="M786" i="3"/>
  <c r="P786" i="3" s="1"/>
  <c r="M805" i="3"/>
  <c r="P805" i="3" s="1"/>
  <c r="M419" i="3"/>
  <c r="M444" i="3"/>
  <c r="P444" i="3" s="1"/>
  <c r="K537" i="3"/>
  <c r="L546" i="3"/>
  <c r="K593" i="3"/>
  <c r="O46" i="2"/>
  <c r="L68" i="2"/>
  <c r="L66" i="2" s="1"/>
  <c r="O66" i="2" s="1"/>
  <c r="O186" i="2"/>
  <c r="L209" i="1"/>
  <c r="J721" i="1"/>
  <c r="K721" i="1" s="1"/>
  <c r="L33" i="2"/>
  <c r="L31" i="2" s="1"/>
  <c r="O31" i="2" s="1"/>
  <c r="M152" i="2"/>
  <c r="P152" i="2" s="1"/>
  <c r="N167" i="2"/>
  <c r="N165" i="2" s="1"/>
  <c r="N187" i="2"/>
  <c r="L209" i="2"/>
  <c r="O209" i="2" s="1"/>
  <c r="L230" i="2"/>
  <c r="I260" i="2"/>
  <c r="K260" i="2" s="1"/>
  <c r="P266" i="2"/>
  <c r="K106" i="1"/>
  <c r="K110" i="1"/>
  <c r="L183" i="1"/>
  <c r="L181" i="1" s="1"/>
  <c r="J679" i="1"/>
  <c r="J678" i="1" s="1"/>
  <c r="K699" i="1"/>
  <c r="K720" i="1"/>
  <c r="M122" i="2"/>
  <c r="P122" i="2" s="1"/>
  <c r="O154" i="2"/>
  <c r="O173" i="2"/>
  <c r="M263" i="2"/>
  <c r="P263" i="2" s="1"/>
  <c r="J327" i="2"/>
  <c r="K327" i="2" s="1"/>
  <c r="K435" i="2"/>
  <c r="J620" i="1"/>
  <c r="L90" i="2"/>
  <c r="L88" i="2" s="1"/>
  <c r="O127" i="2"/>
  <c r="O140" i="2"/>
  <c r="L217" i="2"/>
  <c r="O217" i="2" s="1"/>
  <c r="K255" i="2"/>
  <c r="J288" i="2"/>
  <c r="J275" i="2" s="1"/>
  <c r="K275" i="2" s="1"/>
  <c r="K378" i="2"/>
  <c r="K381" i="2"/>
  <c r="K113" i="1"/>
  <c r="K116" i="1"/>
  <c r="M167" i="1"/>
  <c r="M165" i="1" s="1"/>
  <c r="L229" i="1"/>
  <c r="N230" i="1"/>
  <c r="K378" i="1"/>
  <c r="N391" i="1"/>
  <c r="N389" i="1" s="1"/>
  <c r="L43" i="2"/>
  <c r="L41" i="2" s="1"/>
  <c r="M55" i="2"/>
  <c r="M53" i="2" s="1"/>
  <c r="O96" i="2"/>
  <c r="P168" i="2"/>
  <c r="M347" i="2"/>
  <c r="M345" i="2" s="1"/>
  <c r="I364" i="2"/>
  <c r="I442" i="2"/>
  <c r="K442" i="2" s="1"/>
  <c r="L533" i="2"/>
  <c r="O533" i="2" s="1"/>
  <c r="L687" i="2"/>
  <c r="L685" i="2" s="1"/>
  <c r="O690" i="2"/>
  <c r="K800" i="2"/>
  <c r="M321" i="2"/>
  <c r="P321" i="2" s="1"/>
  <c r="P323" i="2"/>
  <c r="M391" i="1"/>
  <c r="P391" i="1" s="1"/>
  <c r="J434" i="1"/>
  <c r="J418" i="1" s="1"/>
  <c r="J583" i="1"/>
  <c r="J577" i="1" s="1"/>
  <c r="K577" i="1" s="1"/>
  <c r="K98" i="2"/>
  <c r="I86" i="2"/>
  <c r="K86" i="2" s="1"/>
  <c r="M155" i="2"/>
  <c r="P155" i="2" s="1"/>
  <c r="M183" i="2"/>
  <c r="M181" i="2" s="1"/>
  <c r="K437" i="2"/>
  <c r="J433" i="2"/>
  <c r="J417" i="2" s="1"/>
  <c r="N209" i="1"/>
  <c r="N228" i="1"/>
  <c r="K438" i="1"/>
  <c r="J582" i="1"/>
  <c r="J576" i="1" s="1"/>
  <c r="O49" i="2"/>
  <c r="J143" i="2"/>
  <c r="J131" i="2" s="1"/>
  <c r="K144" i="2"/>
  <c r="P170" i="2"/>
  <c r="L187" i="2"/>
  <c r="O187" i="2" s="1"/>
  <c r="O189" i="2"/>
  <c r="L183" i="2"/>
  <c r="L279" i="2"/>
  <c r="L277" i="2" s="1"/>
  <c r="N318" i="2"/>
  <c r="O318" i="2" s="1"/>
  <c r="L348" i="2"/>
  <c r="L347" i="2"/>
  <c r="L345" i="2" s="1"/>
  <c r="I434" i="2"/>
  <c r="I418" i="2" s="1"/>
  <c r="K418" i="2" s="1"/>
  <c r="K440" i="2"/>
  <c r="M155" i="1"/>
  <c r="P155" i="1" s="1"/>
  <c r="N122" i="2"/>
  <c r="N121" i="2"/>
  <c r="N119" i="2" s="1"/>
  <c r="K143" i="2"/>
  <c r="I131" i="2"/>
  <c r="K131" i="2" s="1"/>
  <c r="O285" i="2"/>
  <c r="I417" i="2"/>
  <c r="I592" i="2"/>
  <c r="K592" i="2" s="1"/>
  <c r="K593" i="2"/>
  <c r="L555" i="1"/>
  <c r="O555" i="1" s="1"/>
  <c r="L555" i="2"/>
  <c r="O555" i="2" s="1"/>
  <c r="O557" i="2"/>
  <c r="N68" i="1"/>
  <c r="N66" i="1" s="1"/>
  <c r="P264" i="1"/>
  <c r="O407" i="1"/>
  <c r="K439" i="1"/>
  <c r="J595" i="1"/>
  <c r="N56" i="2"/>
  <c r="N55" i="2"/>
  <c r="N53" i="2" s="1"/>
  <c r="K145" i="2"/>
  <c r="P186" i="2"/>
  <c r="L330" i="2"/>
  <c r="L328" i="2" s="1"/>
  <c r="N404" i="2"/>
  <c r="N402" i="2" s="1"/>
  <c r="N408" i="2"/>
  <c r="K79" i="1"/>
  <c r="K82" i="1"/>
  <c r="K312" i="1"/>
  <c r="L408" i="1"/>
  <c r="O408" i="1" s="1"/>
  <c r="M44" i="2"/>
  <c r="M43" i="2"/>
  <c r="M41" i="2" s="1"/>
  <c r="N90" i="2"/>
  <c r="N88" i="2" s="1"/>
  <c r="N91" i="2"/>
  <c r="O91" i="2" s="1"/>
  <c r="L168" i="2"/>
  <c r="O168" i="2" s="1"/>
  <c r="O170" i="2"/>
  <c r="P189" i="2"/>
  <c r="P269" i="2"/>
  <c r="M267" i="2"/>
  <c r="P267" i="2" s="1"/>
  <c r="O353" i="2"/>
  <c r="L351" i="2"/>
  <c r="K725" i="2"/>
  <c r="O58" i="2"/>
  <c r="M68" i="2"/>
  <c r="P68" i="2" s="1"/>
  <c r="K359" i="2"/>
  <c r="J722" i="2"/>
  <c r="K722" i="2" s="1"/>
  <c r="L229" i="2"/>
  <c r="K340" i="2"/>
  <c r="L477" i="2"/>
  <c r="O477" i="2" s="1"/>
  <c r="K723" i="2"/>
  <c r="L36" i="2"/>
  <c r="O36" i="2" s="1"/>
  <c r="O71" i="2"/>
  <c r="O74" i="2"/>
  <c r="P154" i="2"/>
  <c r="O184" i="2"/>
  <c r="P336" i="2"/>
  <c r="K362" i="2"/>
  <c r="J374" i="2"/>
  <c r="J364" i="2" s="1"/>
  <c r="K379" i="2"/>
  <c r="L469" i="2"/>
  <c r="L467" i="2" s="1"/>
  <c r="K372" i="2"/>
  <c r="L546" i="2"/>
  <c r="L544" i="2" s="1"/>
  <c r="O544" i="2" s="1"/>
  <c r="K649" i="2"/>
  <c r="K821" i="2"/>
  <c r="K824" i="2"/>
  <c r="K827" i="2"/>
  <c r="P25" i="2"/>
  <c r="M15" i="2"/>
  <c r="P285" i="1"/>
  <c r="M283" i="1"/>
  <c r="P283" i="1" s="1"/>
  <c r="O323" i="1"/>
  <c r="L321" i="1"/>
  <c r="O321" i="1" s="1"/>
  <c r="N26" i="2"/>
  <c r="N16" i="2" s="1"/>
  <c r="N14" i="2" s="1"/>
  <c r="P33" i="2"/>
  <c r="M30" i="2"/>
  <c r="P30" i="2" s="1"/>
  <c r="L55" i="2"/>
  <c r="L26" i="2"/>
  <c r="O61" i="2"/>
  <c r="O124" i="2"/>
  <c r="L121" i="2"/>
  <c r="P166" i="2"/>
  <c r="I233" i="2"/>
  <c r="K233" i="2" s="1"/>
  <c r="I237" i="2"/>
  <c r="N280" i="2"/>
  <c r="N279" i="2"/>
  <c r="N277" i="2" s="1"/>
  <c r="P410" i="2"/>
  <c r="M404" i="2"/>
  <c r="M408" i="2"/>
  <c r="P408" i="2" s="1"/>
  <c r="L655" i="2"/>
  <c r="O656" i="2"/>
  <c r="L454" i="1"/>
  <c r="O454" i="1" s="1"/>
  <c r="M629" i="2"/>
  <c r="P629" i="2" s="1"/>
  <c r="P630" i="2"/>
  <c r="J100" i="1"/>
  <c r="K100" i="1" s="1"/>
  <c r="L167" i="1"/>
  <c r="L165" i="1" s="1"/>
  <c r="O173" i="1"/>
  <c r="K99" i="1"/>
  <c r="P173" i="1"/>
  <c r="L59" i="2"/>
  <c r="O59" i="2" s="1"/>
  <c r="N68" i="2"/>
  <c r="N66" i="2" s="1"/>
  <c r="M171" i="2"/>
  <c r="P171" i="2" s="1"/>
  <c r="M167" i="2"/>
  <c r="P173" i="2"/>
  <c r="I197" i="2"/>
  <c r="K197" i="2" s="1"/>
  <c r="K204" i="2"/>
  <c r="K244" i="2"/>
  <c r="L249" i="2"/>
  <c r="O249" i="2" s="1"/>
  <c r="O282" i="2"/>
  <c r="N43" i="1"/>
  <c r="N41" i="1" s="1"/>
  <c r="I87" i="2"/>
  <c r="K87" i="2" s="1"/>
  <c r="K99" i="2"/>
  <c r="P137" i="2"/>
  <c r="M134" i="2"/>
  <c r="P134" i="2" s="1"/>
  <c r="O182" i="2"/>
  <c r="O71" i="1"/>
  <c r="J77" i="1"/>
  <c r="J65" i="1" s="1"/>
  <c r="P46" i="1"/>
  <c r="K176" i="1"/>
  <c r="O12" i="2"/>
  <c r="L9" i="2"/>
  <c r="M19" i="2"/>
  <c r="O25" i="2"/>
  <c r="L15" i="2"/>
  <c r="O32" i="2"/>
  <c r="L29" i="2"/>
  <c r="I77" i="2"/>
  <c r="I76" i="2"/>
  <c r="K80" i="2"/>
  <c r="M91" i="2"/>
  <c r="P93" i="2"/>
  <c r="L122" i="2"/>
  <c r="O122" i="2" s="1"/>
  <c r="P133" i="2"/>
  <c r="L135" i="2"/>
  <c r="O135" i="2" s="1"/>
  <c r="O137" i="2"/>
  <c r="L134" i="2"/>
  <c r="O134" i="2" s="1"/>
  <c r="L263" i="2"/>
  <c r="O269" i="2"/>
  <c r="L267" i="2"/>
  <c r="O267" i="2" s="1"/>
  <c r="N351" i="2"/>
  <c r="P353" i="2"/>
  <c r="K365" i="2"/>
  <c r="P12" i="2"/>
  <c r="M9" i="2"/>
  <c r="P32" i="2"/>
  <c r="M29" i="2"/>
  <c r="M31" i="2"/>
  <c r="P31" i="2" s="1"/>
  <c r="K102" i="1"/>
  <c r="L56" i="2"/>
  <c r="M135" i="2"/>
  <c r="P135" i="2" s="1"/>
  <c r="L151" i="2"/>
  <c r="O157" i="2"/>
  <c r="L301" i="2"/>
  <c r="O301" i="2" s="1"/>
  <c r="L300" i="2"/>
  <c r="O303" i="2"/>
  <c r="J98" i="1"/>
  <c r="J86" i="1" s="1"/>
  <c r="K103" i="1"/>
  <c r="K107" i="1"/>
  <c r="J112" i="1"/>
  <c r="N121" i="1"/>
  <c r="N119" i="1" s="1"/>
  <c r="L348" i="1"/>
  <c r="O348" i="1" s="1"/>
  <c r="L347" i="1"/>
  <c r="L345" i="1" s="1"/>
  <c r="K359" i="1"/>
  <c r="L391" i="1"/>
  <c r="O391" i="1" s="1"/>
  <c r="M26" i="2"/>
  <c r="M24" i="2" s="1"/>
  <c r="N44" i="2"/>
  <c r="O44" i="2" s="1"/>
  <c r="N23" i="2"/>
  <c r="N138" i="2"/>
  <c r="N134" i="2"/>
  <c r="N132" i="2" s="1"/>
  <c r="I164" i="2"/>
  <c r="K164" i="2" s="1"/>
  <c r="K174" i="2"/>
  <c r="P320" i="2"/>
  <c r="M318" i="2"/>
  <c r="M317" i="2"/>
  <c r="L408" i="2"/>
  <c r="O408" i="2" s="1"/>
  <c r="O410" i="2"/>
  <c r="L404" i="2"/>
  <c r="O404" i="2" s="1"/>
  <c r="M544" i="2"/>
  <c r="P544" i="2" s="1"/>
  <c r="P545" i="2"/>
  <c r="O755" i="2"/>
  <c r="L754" i="2"/>
  <c r="O754" i="2" s="1"/>
  <c r="K246" i="1"/>
  <c r="J722" i="1"/>
  <c r="K722" i="1" s="1"/>
  <c r="K785" i="1"/>
  <c r="N12" i="2"/>
  <c r="L23" i="2"/>
  <c r="P46" i="2"/>
  <c r="P49" i="2"/>
  <c r="P71" i="2"/>
  <c r="P74" i="2"/>
  <c r="O93" i="2"/>
  <c r="P96" i="2"/>
  <c r="I112" i="2"/>
  <c r="K112" i="2" s="1"/>
  <c r="L238" i="2"/>
  <c r="M279" i="2"/>
  <c r="O299" i="2"/>
  <c r="N331" i="2"/>
  <c r="P331" i="2" s="1"/>
  <c r="P333" i="2"/>
  <c r="N330" i="2"/>
  <c r="O333" i="2"/>
  <c r="K543" i="2"/>
  <c r="M770" i="2"/>
  <c r="P770" i="2" s="1"/>
  <c r="L33" i="1"/>
  <c r="L31" i="1" s="1"/>
  <c r="K670" i="1"/>
  <c r="J675" i="1"/>
  <c r="J669" i="1" s="1"/>
  <c r="J654" i="1" s="1"/>
  <c r="M23" i="2"/>
  <c r="L198" i="2"/>
  <c r="O198" i="2" s="1"/>
  <c r="K225" i="2"/>
  <c r="L304" i="2"/>
  <c r="O304" i="2" s="1"/>
  <c r="O306" i="2"/>
  <c r="K385" i="2"/>
  <c r="N391" i="2"/>
  <c r="N389" i="2" s="1"/>
  <c r="L454" i="2"/>
  <c r="O454" i="2" s="1"/>
  <c r="O456" i="2"/>
  <c r="L446" i="2"/>
  <c r="I628" i="2"/>
  <c r="K628" i="2" s="1"/>
  <c r="N657" i="2"/>
  <c r="O657" i="2" s="1"/>
  <c r="N658" i="2"/>
  <c r="N685" i="2"/>
  <c r="J236" i="1"/>
  <c r="L317" i="1"/>
  <c r="L315" i="1" s="1"/>
  <c r="J466" i="1"/>
  <c r="K466" i="1" s="1"/>
  <c r="J596" i="1"/>
  <c r="J604" i="1"/>
  <c r="M138" i="2"/>
  <c r="P138" i="2" s="1"/>
  <c r="K235" i="2"/>
  <c r="J226" i="2"/>
  <c r="J180" i="2" s="1"/>
  <c r="N348" i="2"/>
  <c r="P350" i="2"/>
  <c r="N347" i="2"/>
  <c r="O350" i="2"/>
  <c r="P390" i="2"/>
  <c r="M414" i="2"/>
  <c r="P414" i="2" s="1"/>
  <c r="P419" i="2"/>
  <c r="O470" i="2"/>
  <c r="N807" i="2"/>
  <c r="N808" i="2"/>
  <c r="O264" i="1"/>
  <c r="P282" i="2"/>
  <c r="O320" i="2"/>
  <c r="L317" i="2"/>
  <c r="P445" i="2"/>
  <c r="M444" i="2"/>
  <c r="P444" i="2" s="1"/>
  <c r="O472" i="2"/>
  <c r="N469" i="2"/>
  <c r="K577" i="2"/>
  <c r="L639" i="2"/>
  <c r="O639" i="2" s="1"/>
  <c r="O641" i="2"/>
  <c r="L631" i="2"/>
  <c r="O738" i="2"/>
  <c r="L737" i="2"/>
  <c r="O737" i="2" s="1"/>
  <c r="P303" i="2"/>
  <c r="K355" i="2"/>
  <c r="K370" i="2"/>
  <c r="O403" i="2"/>
  <c r="O549" i="2"/>
  <c r="K647" i="2"/>
  <c r="K669" i="2"/>
  <c r="L429" i="2"/>
  <c r="O429" i="2" s="1"/>
  <c r="O431" i="2"/>
  <c r="L421" i="2"/>
  <c r="M467" i="2"/>
  <c r="P467" i="2" s="1"/>
  <c r="P468" i="2"/>
  <c r="M502" i="2"/>
  <c r="P502" i="2" s="1"/>
  <c r="P503" i="2"/>
  <c r="L526" i="2"/>
  <c r="O526" i="2" s="1"/>
  <c r="O528" i="2"/>
  <c r="K576" i="2"/>
  <c r="N655" i="2"/>
  <c r="L786" i="2"/>
  <c r="O786" i="2" s="1"/>
  <c r="L789" i="2"/>
  <c r="O789" i="2" s="1"/>
  <c r="O791" i="2"/>
  <c r="N444" i="2"/>
  <c r="K559" i="2"/>
  <c r="O660" i="2"/>
  <c r="L658" i="2"/>
  <c r="O658" i="2" s="1"/>
  <c r="K672" i="2"/>
  <c r="I654" i="2"/>
  <c r="K654" i="2" s="1"/>
  <c r="K674" i="2"/>
  <c r="K673" i="2"/>
  <c r="M754" i="2"/>
  <c r="P754" i="2" s="1"/>
  <c r="O771" i="2"/>
  <c r="L770" i="2"/>
  <c r="O770" i="2" s="1"/>
  <c r="N805" i="2"/>
  <c r="N688" i="2"/>
  <c r="O688" i="2" s="1"/>
  <c r="L55" i="1"/>
  <c r="L53" i="1" s="1"/>
  <c r="N152" i="1"/>
  <c r="P152" i="1" s="1"/>
  <c r="L68" i="1"/>
  <c r="K83" i="1"/>
  <c r="P93" i="1"/>
  <c r="K104" i="1"/>
  <c r="I174" i="1"/>
  <c r="I164" i="1" s="1"/>
  <c r="O191" i="1"/>
  <c r="P266" i="1"/>
  <c r="N283" i="1"/>
  <c r="K311" i="1"/>
  <c r="N330" i="1"/>
  <c r="N328" i="1" s="1"/>
  <c r="K338" i="1"/>
  <c r="N347" i="1"/>
  <c r="N345" i="1" s="1"/>
  <c r="O350" i="1"/>
  <c r="K381" i="1"/>
  <c r="I388" i="1"/>
  <c r="K388" i="1" s="1"/>
  <c r="N392" i="1"/>
  <c r="L395" i="1"/>
  <c r="O395" i="1" s="1"/>
  <c r="K437" i="1"/>
  <c r="K489" i="1"/>
  <c r="L631" i="1"/>
  <c r="L629" i="1" s="1"/>
  <c r="O641" i="1"/>
  <c r="K671" i="1"/>
  <c r="K726" i="1"/>
  <c r="M68" i="1"/>
  <c r="P74" i="1"/>
  <c r="L94" i="1"/>
  <c r="O94" i="1" s="1"/>
  <c r="K114" i="1"/>
  <c r="L198" i="1"/>
  <c r="K225" i="1"/>
  <c r="J561" i="1"/>
  <c r="K561" i="1" s="1"/>
  <c r="K651" i="1"/>
  <c r="N660" i="1"/>
  <c r="N657" i="1" s="1"/>
  <c r="L36" i="1"/>
  <c r="O36" i="1" s="1"/>
  <c r="M55" i="1"/>
  <c r="M53" i="1" s="1"/>
  <c r="K260" i="1"/>
  <c r="O266" i="1"/>
  <c r="N690" i="1"/>
  <c r="N687" i="1" s="1"/>
  <c r="N685" i="1" s="1"/>
  <c r="J708" i="1"/>
  <c r="K708" i="1" s="1"/>
  <c r="N791" i="1"/>
  <c r="O791" i="1" s="1"/>
  <c r="J87" i="1"/>
  <c r="K87" i="1" s="1"/>
  <c r="L90" i="1"/>
  <c r="L88" i="1" s="1"/>
  <c r="J76" i="1"/>
  <c r="J64" i="1" s="1"/>
  <c r="O93" i="1"/>
  <c r="O125" i="1"/>
  <c r="I148" i="1"/>
  <c r="K148" i="1" s="1"/>
  <c r="K223" i="1"/>
  <c r="L230" i="1"/>
  <c r="K271" i="1"/>
  <c r="M279" i="1"/>
  <c r="K379" i="1"/>
  <c r="N404" i="1"/>
  <c r="N402" i="1" s="1"/>
  <c r="K487" i="1"/>
  <c r="K492" i="1"/>
  <c r="J569" i="1"/>
  <c r="K569" i="1" s="1"/>
  <c r="K728" i="1"/>
  <c r="J194" i="1"/>
  <c r="K214" i="1"/>
  <c r="K325" i="1"/>
  <c r="P331" i="1"/>
  <c r="P348" i="1"/>
  <c r="K385" i="1"/>
  <c r="K483" i="1"/>
  <c r="K823" i="1"/>
  <c r="K826" i="1"/>
  <c r="K276" i="1"/>
  <c r="O44" i="1"/>
  <c r="L23" i="1"/>
  <c r="L21" i="1" s="1"/>
  <c r="I237" i="1"/>
  <c r="I226" i="1" s="1"/>
  <c r="I233" i="1"/>
  <c r="O61" i="1"/>
  <c r="L69" i="1"/>
  <c r="I77" i="1"/>
  <c r="N90" i="1"/>
  <c r="N88" i="1" s="1"/>
  <c r="L134" i="1"/>
  <c r="L132" i="1" s="1"/>
  <c r="M184" i="1"/>
  <c r="M183" i="1"/>
  <c r="M181" i="1" s="1"/>
  <c r="P303" i="1"/>
  <c r="M300" i="1"/>
  <c r="L43" i="1"/>
  <c r="N69" i="1"/>
  <c r="P69" i="1" s="1"/>
  <c r="P71" i="1"/>
  <c r="P91" i="1"/>
  <c r="K111" i="1"/>
  <c r="L122" i="1"/>
  <c r="O122" i="1" s="1"/>
  <c r="K145" i="1"/>
  <c r="P189" i="1"/>
  <c r="N249" i="1"/>
  <c r="N263" i="1"/>
  <c r="N261" i="1" s="1"/>
  <c r="P282" i="1"/>
  <c r="M280" i="1"/>
  <c r="P280" i="1" s="1"/>
  <c r="M301" i="1"/>
  <c r="O303" i="1"/>
  <c r="N300" i="1"/>
  <c r="N298" i="1" s="1"/>
  <c r="P269" i="1"/>
  <c r="M263" i="1"/>
  <c r="I76" i="1"/>
  <c r="I64" i="1" s="1"/>
  <c r="J327" i="1"/>
  <c r="K327" i="1" s="1"/>
  <c r="I434" i="1"/>
  <c r="L26" i="1"/>
  <c r="L24" i="1" s="1"/>
  <c r="P49" i="1"/>
  <c r="O58" i="1"/>
  <c r="O336" i="1"/>
  <c r="L334" i="1"/>
  <c r="O334" i="1" s="1"/>
  <c r="M23" i="1"/>
  <c r="L56" i="1"/>
  <c r="M43" i="1"/>
  <c r="L72" i="1"/>
  <c r="O72" i="1" s="1"/>
  <c r="K80" i="1"/>
  <c r="L91" i="1"/>
  <c r="O91" i="1" s="1"/>
  <c r="K109" i="1"/>
  <c r="K193" i="1"/>
  <c r="L238" i="1"/>
  <c r="L231" i="1"/>
  <c r="K247" i="1"/>
  <c r="I236" i="1"/>
  <c r="N301" i="1"/>
  <c r="O301" i="1" s="1"/>
  <c r="M304" i="1"/>
  <c r="P304" i="1" s="1"/>
  <c r="K362" i="1"/>
  <c r="O394" i="1"/>
  <c r="L392" i="1"/>
  <c r="O392" i="1" s="1"/>
  <c r="L422" i="1"/>
  <c r="L421" i="1"/>
  <c r="L419" i="1" s="1"/>
  <c r="N472" i="1"/>
  <c r="N470" i="1" s="1"/>
  <c r="O470" i="1" s="1"/>
  <c r="L47" i="1"/>
  <c r="O47" i="1" s="1"/>
  <c r="M90" i="1"/>
  <c r="P96" i="1"/>
  <c r="O127" i="1"/>
  <c r="K224" i="1"/>
  <c r="I216" i="1"/>
  <c r="K216" i="1" s="1"/>
  <c r="M267" i="1"/>
  <c r="P267" i="1" s="1"/>
  <c r="K287" i="1"/>
  <c r="K355" i="1"/>
  <c r="I443" i="1"/>
  <c r="K443" i="1" s="1"/>
  <c r="K462" i="1"/>
  <c r="J233" i="1"/>
  <c r="K290" i="1"/>
  <c r="J288" i="1"/>
  <c r="J275" i="1" s="1"/>
  <c r="K275" i="1" s="1"/>
  <c r="K498" i="1"/>
  <c r="N528" i="1"/>
  <c r="N525" i="1" s="1"/>
  <c r="N523" i="1" s="1"/>
  <c r="J729" i="1"/>
  <c r="K729" i="1" s="1"/>
  <c r="O138" i="1"/>
  <c r="P154" i="1"/>
  <c r="L187" i="1"/>
  <c r="O187" i="1" s="1"/>
  <c r="N217" i="1"/>
  <c r="K257" i="1"/>
  <c r="L263" i="1"/>
  <c r="L261" i="1" s="1"/>
  <c r="O285" i="1"/>
  <c r="K291" i="1"/>
  <c r="L318" i="1"/>
  <c r="O318" i="1" s="1"/>
  <c r="K360" i="1"/>
  <c r="K369" i="1"/>
  <c r="L404" i="1"/>
  <c r="O404" i="1" s="1"/>
  <c r="L446" i="1"/>
  <c r="L444" i="1" s="1"/>
  <c r="J603" i="1"/>
  <c r="K672" i="1"/>
  <c r="K725" i="1"/>
  <c r="K495" i="1"/>
  <c r="K541" i="1"/>
  <c r="K800" i="1"/>
  <c r="K821" i="1"/>
  <c r="K824" i="1"/>
  <c r="K827" i="1"/>
  <c r="N198" i="1"/>
  <c r="L217" i="1"/>
  <c r="K293" i="1"/>
  <c r="K310" i="1"/>
  <c r="K340" i="1"/>
  <c r="M347" i="1"/>
  <c r="M345" i="1" s="1"/>
  <c r="K370" i="1"/>
  <c r="K440" i="1"/>
  <c r="K485" i="1"/>
  <c r="K542" i="1"/>
  <c r="J568" i="1"/>
  <c r="K568" i="1" s="1"/>
  <c r="K647" i="1"/>
  <c r="I654" i="1"/>
  <c r="K674" i="1"/>
  <c r="K822" i="1"/>
  <c r="K825" i="1"/>
  <c r="K828" i="1"/>
  <c r="O12" i="1"/>
  <c r="O42" i="1"/>
  <c r="P137" i="1"/>
  <c r="M134" i="1"/>
  <c r="N184" i="1"/>
  <c r="P186" i="1"/>
  <c r="N183" i="1"/>
  <c r="N181" i="1" s="1"/>
  <c r="I401" i="1"/>
  <c r="K401" i="1" s="1"/>
  <c r="K412" i="1"/>
  <c r="L547" i="1"/>
  <c r="L546" i="1"/>
  <c r="I130" i="1"/>
  <c r="K130" i="1" s="1"/>
  <c r="K146" i="1"/>
  <c r="P54" i="1"/>
  <c r="P61" i="1"/>
  <c r="I86" i="1"/>
  <c r="M125" i="1"/>
  <c r="P125" i="1" s="1"/>
  <c r="P127" i="1"/>
  <c r="M135" i="1"/>
  <c r="P135" i="1" s="1"/>
  <c r="J143" i="1"/>
  <c r="K144" i="1"/>
  <c r="P150" i="1"/>
  <c r="O157" i="1"/>
  <c r="L151" i="1"/>
  <c r="O186" i="1"/>
  <c r="I197" i="1"/>
  <c r="K197" i="1" s="1"/>
  <c r="K204" i="1"/>
  <c r="L280" i="1"/>
  <c r="O280" i="1" s="1"/>
  <c r="O282" i="1"/>
  <c r="L279" i="1"/>
  <c r="M405" i="1"/>
  <c r="P405" i="1" s="1"/>
  <c r="P407" i="1"/>
  <c r="M404" i="1"/>
  <c r="P404" i="1" s="1"/>
  <c r="L786" i="1"/>
  <c r="O787" i="1"/>
  <c r="O35" i="1"/>
  <c r="N56" i="1"/>
  <c r="L19" i="1"/>
  <c r="N23" i="1"/>
  <c r="N21" i="1" s="1"/>
  <c r="N55" i="1"/>
  <c r="N59" i="1"/>
  <c r="O59" i="1" s="1"/>
  <c r="N15" i="1"/>
  <c r="N19" i="1"/>
  <c r="P22" i="1"/>
  <c r="M19" i="1"/>
  <c r="M12" i="1"/>
  <c r="M26" i="1"/>
  <c r="L29" i="1"/>
  <c r="N26" i="1"/>
  <c r="N16" i="1" s="1"/>
  <c r="M121" i="1"/>
  <c r="P140" i="1"/>
  <c r="M138" i="1"/>
  <c r="P138" i="1" s="1"/>
  <c r="L155" i="1"/>
  <c r="O155" i="1" s="1"/>
  <c r="M168" i="1"/>
  <c r="P170" i="1"/>
  <c r="K309" i="1"/>
  <c r="I297" i="1"/>
  <c r="K297" i="1" s="1"/>
  <c r="K374" i="1"/>
  <c r="I364" i="1"/>
  <c r="N134" i="1"/>
  <c r="N132" i="1" s="1"/>
  <c r="O140" i="1"/>
  <c r="O170" i="1"/>
  <c r="N167" i="1"/>
  <c r="N238" i="1"/>
  <c r="N229" i="1"/>
  <c r="O25" i="1"/>
  <c r="M28" i="1"/>
  <c r="P28" i="1" s="1"/>
  <c r="P58" i="1"/>
  <c r="I112" i="1"/>
  <c r="K115" i="1"/>
  <c r="M122" i="1"/>
  <c r="P122" i="1" s="1"/>
  <c r="P124" i="1"/>
  <c r="K190" i="1"/>
  <c r="J237" i="1"/>
  <c r="J226" i="1" s="1"/>
  <c r="J180" i="1" s="1"/>
  <c r="L304" i="1"/>
  <c r="O304" i="1" s="1"/>
  <c r="O306" i="1"/>
  <c r="O166" i="1"/>
  <c r="N168" i="1"/>
  <c r="O168" i="1" s="1"/>
  <c r="L15" i="1"/>
  <c r="O46" i="1"/>
  <c r="M44" i="1"/>
  <c r="P44" i="1" s="1"/>
  <c r="P32" i="1"/>
  <c r="P120" i="1"/>
  <c r="L135" i="1"/>
  <c r="O135" i="1" s="1"/>
  <c r="O137" i="1"/>
  <c r="L267" i="1"/>
  <c r="O267" i="1" s="1"/>
  <c r="O269" i="1"/>
  <c r="L300" i="1"/>
  <c r="L331" i="1"/>
  <c r="O331" i="1" s="1"/>
  <c r="L330" i="1"/>
  <c r="L328" i="1" s="1"/>
  <c r="O333" i="1"/>
  <c r="K435" i="1"/>
  <c r="I433" i="1"/>
  <c r="O154" i="1"/>
  <c r="K215" i="1"/>
  <c r="I208" i="1"/>
  <c r="K208" i="1" s="1"/>
  <c r="I314" i="1"/>
  <c r="K314" i="1" s="1"/>
  <c r="O346" i="1"/>
  <c r="M392" i="1"/>
  <c r="P392" i="1" s="1"/>
  <c r="P394" i="1"/>
  <c r="M408" i="1"/>
  <c r="P408" i="1" s="1"/>
  <c r="P410" i="1"/>
  <c r="P657" i="1"/>
  <c r="M655" i="1"/>
  <c r="P655" i="1" s="1"/>
  <c r="J235" i="1"/>
  <c r="O329" i="1"/>
  <c r="P336" i="1"/>
  <c r="M334" i="1"/>
  <c r="P334" i="1" s="1"/>
  <c r="M330" i="1"/>
  <c r="M395" i="1"/>
  <c r="P395" i="1" s="1"/>
  <c r="P397" i="1"/>
  <c r="K460" i="1"/>
  <c r="J442" i="1"/>
  <c r="K442" i="1" s="1"/>
  <c r="K538" i="1"/>
  <c r="J537" i="1"/>
  <c r="J522" i="1" s="1"/>
  <c r="L632" i="1"/>
  <c r="M151" i="1"/>
  <c r="J164" i="1"/>
  <c r="L228" i="1"/>
  <c r="K248" i="1"/>
  <c r="K294" i="1"/>
  <c r="N351" i="1"/>
  <c r="O351" i="1" s="1"/>
  <c r="O353" i="1"/>
  <c r="P545" i="1"/>
  <c r="M544" i="1"/>
  <c r="P544" i="1" s="1"/>
  <c r="K244" i="1"/>
  <c r="K255" i="1"/>
  <c r="O262" i="1"/>
  <c r="O278" i="1"/>
  <c r="O299" i="1"/>
  <c r="P333" i="1"/>
  <c r="P350" i="1"/>
  <c r="O479" i="1"/>
  <c r="L477" i="1"/>
  <c r="O477" i="1" s="1"/>
  <c r="L469" i="1"/>
  <c r="M685" i="1"/>
  <c r="P685" i="1" s="1"/>
  <c r="K723" i="1"/>
  <c r="M737" i="1"/>
  <c r="P737" i="1" s="1"/>
  <c r="P738" i="1"/>
  <c r="M786" i="1"/>
  <c r="P786" i="1" s="1"/>
  <c r="K365" i="1"/>
  <c r="O431" i="1"/>
  <c r="L429" i="1"/>
  <c r="O429" i="1" s="1"/>
  <c r="L533" i="1"/>
  <c r="O533" i="1" s="1"/>
  <c r="L525" i="1"/>
  <c r="O535" i="1"/>
  <c r="J560" i="1"/>
  <c r="K560" i="1" s="1"/>
  <c r="N634" i="1"/>
  <c r="L655" i="1"/>
  <c r="O656" i="1"/>
  <c r="O686" i="1"/>
  <c r="K700" i="1"/>
  <c r="J701" i="1"/>
  <c r="K701" i="1" s="1"/>
  <c r="N737" i="1"/>
  <c r="M770" i="1"/>
  <c r="P770" i="1" s="1"/>
  <c r="P771" i="1"/>
  <c r="P445" i="1"/>
  <c r="M444" i="1"/>
  <c r="P444" i="1" s="1"/>
  <c r="O503" i="1"/>
  <c r="L502" i="1"/>
  <c r="O502" i="1" s="1"/>
  <c r="O524" i="1"/>
  <c r="N549" i="1"/>
  <c r="O549" i="1" s="1"/>
  <c r="K644" i="1"/>
  <c r="N317" i="1"/>
  <c r="O320" i="1"/>
  <c r="M351" i="1"/>
  <c r="P353" i="1"/>
  <c r="N424" i="1"/>
  <c r="N449" i="1"/>
  <c r="M502" i="1"/>
  <c r="P502" i="1" s="1"/>
  <c r="J621" i="1"/>
  <c r="M754" i="1"/>
  <c r="P754" i="1" s="1"/>
  <c r="P755" i="1"/>
  <c r="I522" i="1"/>
  <c r="L526" i="1"/>
  <c r="L658" i="1"/>
  <c r="L688" i="1"/>
  <c r="P787" i="1"/>
  <c r="L789" i="1"/>
  <c r="N808" i="1"/>
  <c r="L687" i="1"/>
  <c r="I628" i="1"/>
  <c r="K628" i="1" s="1"/>
  <c r="N31" i="15" l="1"/>
  <c r="N414" i="15"/>
  <c r="N28" i="11"/>
  <c r="N31" i="11"/>
  <c r="M132" i="20"/>
  <c r="P132" i="20" s="1"/>
  <c r="O31" i="7"/>
  <c r="P391" i="21"/>
  <c r="N28" i="5"/>
  <c r="O90" i="14"/>
  <c r="M414" i="5"/>
  <c r="P414" i="5" s="1"/>
  <c r="I543" i="21"/>
  <c r="K543" i="21" s="1"/>
  <c r="K559" i="22"/>
  <c r="L655" i="17"/>
  <c r="O655" i="17" s="1"/>
  <c r="I131" i="22"/>
  <c r="K131" i="22" s="1"/>
  <c r="L119" i="7"/>
  <c r="O119" i="7" s="1"/>
  <c r="P328" i="21"/>
  <c r="M389" i="19"/>
  <c r="P389" i="19" s="1"/>
  <c r="O687" i="14"/>
  <c r="O261" i="21"/>
  <c r="M298" i="22"/>
  <c r="P298" i="22" s="1"/>
  <c r="P88" i="22"/>
  <c r="L132" i="22"/>
  <c r="O132" i="22" s="1"/>
  <c r="M277" i="22"/>
  <c r="P277" i="22" s="1"/>
  <c r="M16" i="22"/>
  <c r="M14" i="22" s="1"/>
  <c r="P14" i="22" s="1"/>
  <c r="P149" i="21"/>
  <c r="O90" i="22"/>
  <c r="P55" i="22"/>
  <c r="L419" i="21"/>
  <c r="O419" i="21" s="1"/>
  <c r="P90" i="22"/>
  <c r="P330" i="14"/>
  <c r="O330" i="14"/>
  <c r="I418" i="13"/>
  <c r="K418" i="13" s="1"/>
  <c r="M66" i="22"/>
  <c r="P66" i="22" s="1"/>
  <c r="M315" i="17"/>
  <c r="P315" i="17" s="1"/>
  <c r="P55" i="19"/>
  <c r="O300" i="21"/>
  <c r="P68" i="21"/>
  <c r="L655" i="22"/>
  <c r="O655" i="22" s="1"/>
  <c r="P43" i="22"/>
  <c r="M261" i="21"/>
  <c r="P261" i="21" s="1"/>
  <c r="P151" i="22"/>
  <c r="O263" i="22"/>
  <c r="O90" i="17"/>
  <c r="P43" i="19"/>
  <c r="M315" i="21"/>
  <c r="P315" i="21" s="1"/>
  <c r="P300" i="21"/>
  <c r="O53" i="21"/>
  <c r="O263" i="19"/>
  <c r="K559" i="20"/>
  <c r="L132" i="19"/>
  <c r="O132" i="19" s="1"/>
  <c r="O298" i="21"/>
  <c r="O55" i="21"/>
  <c r="L227" i="21"/>
  <c r="L389" i="20"/>
  <c r="O389" i="20" s="1"/>
  <c r="L523" i="21"/>
  <c r="O523" i="21" s="1"/>
  <c r="O167" i="21"/>
  <c r="O90" i="21"/>
  <c r="O687" i="22"/>
  <c r="K76" i="22"/>
  <c r="O36" i="22"/>
  <c r="P23" i="20"/>
  <c r="L315" i="21"/>
  <c r="O315" i="21" s="1"/>
  <c r="O263" i="21"/>
  <c r="P263" i="22"/>
  <c r="L227" i="22"/>
  <c r="M389" i="20"/>
  <c r="P389" i="20" s="1"/>
  <c r="P53" i="21"/>
  <c r="P328" i="20"/>
  <c r="O167" i="20"/>
  <c r="O183" i="22"/>
  <c r="M165" i="22"/>
  <c r="P165" i="22" s="1"/>
  <c r="O55" i="22"/>
  <c r="O151" i="21"/>
  <c r="L277" i="22"/>
  <c r="O277" i="22" s="1"/>
  <c r="I418" i="22"/>
  <c r="K418" i="22" s="1"/>
  <c r="P151" i="21"/>
  <c r="N53" i="22"/>
  <c r="P53" i="22" s="1"/>
  <c r="L315" i="22"/>
  <c r="O315" i="22" s="1"/>
  <c r="L523" i="17"/>
  <c r="O523" i="17" s="1"/>
  <c r="L88" i="22"/>
  <c r="O88" i="22" s="1"/>
  <c r="O277" i="21"/>
  <c r="M20" i="20"/>
  <c r="M18" i="20" s="1"/>
  <c r="P404" i="22"/>
  <c r="M402" i="22"/>
  <c r="P402" i="22" s="1"/>
  <c r="O55" i="20"/>
  <c r="O24" i="21"/>
  <c r="P69" i="21"/>
  <c r="L298" i="22"/>
  <c r="O298" i="22" s="1"/>
  <c r="N165" i="20"/>
  <c r="O165" i="20" s="1"/>
  <c r="P277" i="21"/>
  <c r="O525" i="22"/>
  <c r="L523" i="22"/>
  <c r="O523" i="22" s="1"/>
  <c r="M298" i="21"/>
  <c r="P298" i="21" s="1"/>
  <c r="P121" i="21"/>
  <c r="O183" i="20"/>
  <c r="M132" i="21"/>
  <c r="P132" i="21" s="1"/>
  <c r="P90" i="20"/>
  <c r="O279" i="21"/>
  <c r="K77" i="20"/>
  <c r="K143" i="21"/>
  <c r="O53" i="22"/>
  <c r="M132" i="22"/>
  <c r="P132" i="22" s="1"/>
  <c r="O44" i="22"/>
  <c r="P121" i="22"/>
  <c r="M119" i="22"/>
  <c r="P119" i="22" s="1"/>
  <c r="O33" i="18"/>
  <c r="M66" i="21"/>
  <c r="P66" i="21" s="1"/>
  <c r="I65" i="21"/>
  <c r="K65" i="21" s="1"/>
  <c r="K364" i="21"/>
  <c r="N41" i="22"/>
  <c r="P41" i="22" s="1"/>
  <c r="O391" i="22"/>
  <c r="L389" i="22"/>
  <c r="O389" i="22" s="1"/>
  <c r="N24" i="22"/>
  <c r="P24" i="22" s="1"/>
  <c r="P26" i="22"/>
  <c r="L149" i="22"/>
  <c r="O149" i="22" s="1"/>
  <c r="O151" i="22"/>
  <c r="O300" i="19"/>
  <c r="K433" i="22"/>
  <c r="I417" i="22"/>
  <c r="K417" i="22" s="1"/>
  <c r="M389" i="22"/>
  <c r="P389" i="22" s="1"/>
  <c r="O347" i="18"/>
  <c r="M402" i="19"/>
  <c r="P402" i="19" s="1"/>
  <c r="M13" i="20"/>
  <c r="M11" i="20" s="1"/>
  <c r="L31" i="20"/>
  <c r="O31" i="20" s="1"/>
  <c r="P55" i="21"/>
  <c r="O347" i="22"/>
  <c r="N345" i="22"/>
  <c r="O345" i="22" s="1"/>
  <c r="M315" i="22"/>
  <c r="P315" i="22" s="1"/>
  <c r="P317" i="22"/>
  <c r="N181" i="22"/>
  <c r="O181" i="22" s="1"/>
  <c r="L119" i="19"/>
  <c r="O119" i="19" s="1"/>
  <c r="O446" i="22"/>
  <c r="L444" i="22"/>
  <c r="O444" i="22" s="1"/>
  <c r="L402" i="22"/>
  <c r="O402" i="22" s="1"/>
  <c r="O404" i="22"/>
  <c r="O19" i="22"/>
  <c r="O26" i="22"/>
  <c r="L16" i="22"/>
  <c r="L24" i="22"/>
  <c r="L20" i="22"/>
  <c r="L18" i="22" s="1"/>
  <c r="P23" i="22"/>
  <c r="M20" i="22"/>
  <c r="M13" i="22"/>
  <c r="M21" i="22"/>
  <c r="O68" i="22"/>
  <c r="L66" i="22"/>
  <c r="O66" i="22" s="1"/>
  <c r="O404" i="19"/>
  <c r="N20" i="22"/>
  <c r="N18" i="22" s="1"/>
  <c r="N13" i="22"/>
  <c r="N10" i="22" s="1"/>
  <c r="O23" i="22"/>
  <c r="M414" i="22"/>
  <c r="P414" i="22" s="1"/>
  <c r="P419" i="22"/>
  <c r="L467" i="22"/>
  <c r="O467" i="22" s="1"/>
  <c r="P183" i="22"/>
  <c r="M181" i="22"/>
  <c r="M261" i="22"/>
  <c r="P261" i="22" s="1"/>
  <c r="N21" i="22"/>
  <c r="O21" i="22" s="1"/>
  <c r="O151" i="19"/>
  <c r="O91" i="20"/>
  <c r="O631" i="22"/>
  <c r="L629" i="22"/>
  <c r="O629" i="22" s="1"/>
  <c r="O261" i="22"/>
  <c r="P347" i="22"/>
  <c r="K248" i="22"/>
  <c r="I226" i="22"/>
  <c r="K226" i="22" s="1"/>
  <c r="P15" i="22"/>
  <c r="O330" i="22"/>
  <c r="P330" i="22"/>
  <c r="N328" i="22"/>
  <c r="P328" i="22" s="1"/>
  <c r="L41" i="22"/>
  <c r="O43" i="22"/>
  <c r="O421" i="22"/>
  <c r="L419" i="22"/>
  <c r="O33" i="22"/>
  <c r="L30" i="22"/>
  <c r="L13" i="22"/>
  <c r="L11" i="22" s="1"/>
  <c r="L119" i="22"/>
  <c r="O119" i="22" s="1"/>
  <c r="O121" i="22"/>
  <c r="O12" i="22"/>
  <c r="L9" i="22"/>
  <c r="N9" i="22"/>
  <c r="O546" i="22"/>
  <c r="L544" i="22"/>
  <c r="O544" i="22" s="1"/>
  <c r="P9" i="22"/>
  <c r="O788" i="22"/>
  <c r="L786" i="22"/>
  <c r="O786" i="22" s="1"/>
  <c r="N414" i="22"/>
  <c r="O167" i="22"/>
  <c r="L165" i="22"/>
  <c r="O165" i="22" s="1"/>
  <c r="K77" i="22"/>
  <c r="I65" i="22"/>
  <c r="K65" i="22" s="1"/>
  <c r="L786" i="21"/>
  <c r="O786" i="21" s="1"/>
  <c r="P279" i="21"/>
  <c r="O279" i="17"/>
  <c r="M119" i="19"/>
  <c r="P119" i="19" s="1"/>
  <c r="O66" i="21"/>
  <c r="P167" i="16"/>
  <c r="L13" i="18"/>
  <c r="L11" i="18" s="1"/>
  <c r="M149" i="18"/>
  <c r="P149" i="18" s="1"/>
  <c r="L419" i="20"/>
  <c r="O419" i="20" s="1"/>
  <c r="M66" i="20"/>
  <c r="P66" i="20" s="1"/>
  <c r="L53" i="20"/>
  <c r="O43" i="21"/>
  <c r="O301" i="21"/>
  <c r="N16" i="21"/>
  <c r="N14" i="21" s="1"/>
  <c r="P55" i="20"/>
  <c r="L132" i="21"/>
  <c r="O132" i="21" s="1"/>
  <c r="O134" i="21"/>
  <c r="N53" i="20"/>
  <c r="P53" i="20" s="1"/>
  <c r="O347" i="21"/>
  <c r="K434" i="21"/>
  <c r="I418" i="21"/>
  <c r="K418" i="21" s="1"/>
  <c r="O657" i="21"/>
  <c r="L655" i="21"/>
  <c r="O655" i="21" s="1"/>
  <c r="P90" i="21"/>
  <c r="N88" i="21"/>
  <c r="L402" i="21"/>
  <c r="O402" i="21" s="1"/>
  <c r="O404" i="21"/>
  <c r="P347" i="21"/>
  <c r="O134" i="6"/>
  <c r="O345" i="21"/>
  <c r="M402" i="21"/>
  <c r="P402" i="21" s="1"/>
  <c r="P404" i="21"/>
  <c r="O546" i="21"/>
  <c r="P345" i="21"/>
  <c r="M181" i="21"/>
  <c r="P181" i="21" s="1"/>
  <c r="P183" i="21"/>
  <c r="O330" i="20"/>
  <c r="O404" i="20"/>
  <c r="L149" i="21"/>
  <c r="O149" i="21" s="1"/>
  <c r="O183" i="21"/>
  <c r="L181" i="21"/>
  <c r="O181" i="21" s="1"/>
  <c r="P330" i="21"/>
  <c r="O53" i="10"/>
  <c r="O263" i="20"/>
  <c r="O331" i="20"/>
  <c r="I226" i="21"/>
  <c r="K226" i="21" s="1"/>
  <c r="P167" i="21"/>
  <c r="N165" i="21"/>
  <c r="O68" i="21"/>
  <c r="O55" i="16"/>
  <c r="O331" i="19"/>
  <c r="L30" i="20"/>
  <c r="N88" i="20"/>
  <c r="O29" i="21"/>
  <c r="O544" i="21"/>
  <c r="L685" i="15"/>
  <c r="O685" i="15" s="1"/>
  <c r="K559" i="15"/>
  <c r="L467" i="21"/>
  <c r="O467" i="21" s="1"/>
  <c r="O469" i="21"/>
  <c r="K76" i="21"/>
  <c r="I64" i="21"/>
  <c r="K64" i="21" s="1"/>
  <c r="P43" i="21"/>
  <c r="N9" i="21"/>
  <c r="P53" i="16"/>
  <c r="O183" i="18"/>
  <c r="L119" i="20"/>
  <c r="O119" i="20" s="1"/>
  <c r="P26" i="21"/>
  <c r="M16" i="21"/>
  <c r="O631" i="21"/>
  <c r="L629" i="21"/>
  <c r="O629" i="21" s="1"/>
  <c r="L21" i="21"/>
  <c r="O21" i="21" s="1"/>
  <c r="L20" i="21"/>
  <c r="O23" i="21"/>
  <c r="L13" i="21"/>
  <c r="J417" i="21"/>
  <c r="K417" i="21" s="1"/>
  <c r="K433" i="21"/>
  <c r="N13" i="21"/>
  <c r="N20" i="21"/>
  <c r="N18" i="21" s="1"/>
  <c r="O26" i="21"/>
  <c r="L16" i="21"/>
  <c r="L14" i="21" s="1"/>
  <c r="O9" i="21"/>
  <c r="L34" i="21"/>
  <c r="O34" i="21" s="1"/>
  <c r="O36" i="21"/>
  <c r="O15" i="21"/>
  <c r="L685" i="20"/>
  <c r="O685" i="20" s="1"/>
  <c r="L523" i="20"/>
  <c r="O523" i="20" s="1"/>
  <c r="O345" i="20"/>
  <c r="O685" i="21"/>
  <c r="O687" i="21"/>
  <c r="N41" i="21"/>
  <c r="P41" i="21" s="1"/>
  <c r="O330" i="21"/>
  <c r="L328" i="21"/>
  <c r="O328" i="21" s="1"/>
  <c r="O33" i="21"/>
  <c r="L30" i="21"/>
  <c r="O30" i="21" s="1"/>
  <c r="L31" i="21"/>
  <c r="O31" i="21" s="1"/>
  <c r="O391" i="21"/>
  <c r="L389" i="21"/>
  <c r="O389" i="21" s="1"/>
  <c r="O446" i="21"/>
  <c r="L444" i="21"/>
  <c r="O444" i="21" s="1"/>
  <c r="M414" i="21"/>
  <c r="P414" i="21" s="1"/>
  <c r="M20" i="21"/>
  <c r="P23" i="21"/>
  <c r="M13" i="21"/>
  <c r="M11" i="21" s="1"/>
  <c r="M21" i="21"/>
  <c r="P21" i="21" s="1"/>
  <c r="M9" i="21"/>
  <c r="P12" i="21"/>
  <c r="K288" i="21"/>
  <c r="O121" i="21"/>
  <c r="L119" i="21"/>
  <c r="O119" i="21" s="1"/>
  <c r="M24" i="21"/>
  <c r="P24" i="21" s="1"/>
  <c r="M28" i="21"/>
  <c r="P28" i="21" s="1"/>
  <c r="P29" i="21"/>
  <c r="L523" i="14"/>
  <c r="O523" i="14" s="1"/>
  <c r="M66" i="19"/>
  <c r="P66" i="19" s="1"/>
  <c r="L467" i="20"/>
  <c r="O467" i="20" s="1"/>
  <c r="P347" i="20"/>
  <c r="P151" i="20"/>
  <c r="O26" i="20"/>
  <c r="L181" i="20"/>
  <c r="O181" i="20" s="1"/>
  <c r="L34" i="20"/>
  <c r="O34" i="20" s="1"/>
  <c r="P330" i="20"/>
  <c r="O525" i="18"/>
  <c r="L523" i="18"/>
  <c r="O523" i="18" s="1"/>
  <c r="O351" i="17"/>
  <c r="P331" i="19"/>
  <c r="M277" i="19"/>
  <c r="P277" i="19" s="1"/>
  <c r="P345" i="20"/>
  <c r="I64" i="20"/>
  <c r="K64" i="20" s="1"/>
  <c r="L16" i="20"/>
  <c r="L14" i="20" s="1"/>
  <c r="P56" i="20"/>
  <c r="P149" i="16"/>
  <c r="P351" i="17"/>
  <c r="L277" i="20"/>
  <c r="O277" i="20" s="1"/>
  <c r="O134" i="20"/>
  <c r="L132" i="20"/>
  <c r="O132" i="20" s="1"/>
  <c r="M24" i="20"/>
  <c r="L149" i="20"/>
  <c r="O149" i="20" s="1"/>
  <c r="M402" i="20"/>
  <c r="P402" i="20" s="1"/>
  <c r="P404" i="20"/>
  <c r="P263" i="20"/>
  <c r="N261" i="20"/>
  <c r="O261" i="20" s="1"/>
  <c r="L655" i="20"/>
  <c r="O655" i="20" s="1"/>
  <c r="O657" i="20"/>
  <c r="O300" i="20"/>
  <c r="L298" i="20"/>
  <c r="O298" i="20" s="1"/>
  <c r="P181" i="20"/>
  <c r="O90" i="20"/>
  <c r="O347" i="20"/>
  <c r="I418" i="20"/>
  <c r="K418" i="20" s="1"/>
  <c r="K434" i="20"/>
  <c r="P300" i="20"/>
  <c r="M298" i="20"/>
  <c r="P298" i="20" s="1"/>
  <c r="P183" i="20"/>
  <c r="O261" i="16"/>
  <c r="P279" i="20"/>
  <c r="M277" i="20"/>
  <c r="P277" i="20" s="1"/>
  <c r="O330" i="19"/>
  <c r="M165" i="20"/>
  <c r="P167" i="20"/>
  <c r="P347" i="16"/>
  <c r="O277" i="16"/>
  <c r="P68" i="18"/>
  <c r="L34" i="19"/>
  <c r="O34" i="19" s="1"/>
  <c r="J417" i="20"/>
  <c r="K417" i="20" s="1"/>
  <c r="K433" i="20"/>
  <c r="L444" i="20"/>
  <c r="O444" i="20" s="1"/>
  <c r="K237" i="20"/>
  <c r="I226" i="20"/>
  <c r="K226" i="20" s="1"/>
  <c r="P279" i="16"/>
  <c r="P26" i="19"/>
  <c r="M414" i="20"/>
  <c r="P414" i="20" s="1"/>
  <c r="M315" i="20"/>
  <c r="P315" i="20" s="1"/>
  <c r="M119" i="20"/>
  <c r="P119" i="20" s="1"/>
  <c r="P121" i="20"/>
  <c r="O23" i="20"/>
  <c r="L20" i="20"/>
  <c r="L18" i="20" s="1"/>
  <c r="L13" i="20"/>
  <c r="L11" i="20" s="1"/>
  <c r="P26" i="20"/>
  <c r="N24" i="20"/>
  <c r="N16" i="20"/>
  <c r="M389" i="14"/>
  <c r="P389" i="14" s="1"/>
  <c r="P91" i="17"/>
  <c r="K417" i="17"/>
  <c r="I64" i="18"/>
  <c r="K64" i="18" s="1"/>
  <c r="O330" i="18"/>
  <c r="M261" i="19"/>
  <c r="P261" i="19" s="1"/>
  <c r="O88" i="19"/>
  <c r="L66" i="20"/>
  <c r="O66" i="20" s="1"/>
  <c r="O68" i="20"/>
  <c r="N9" i="20"/>
  <c r="L328" i="20"/>
  <c r="O328" i="20" s="1"/>
  <c r="O19" i="20"/>
  <c r="P29" i="20"/>
  <c r="M28" i="20"/>
  <c r="P28" i="20" s="1"/>
  <c r="P15" i="20"/>
  <c r="M14" i="20"/>
  <c r="L227" i="20"/>
  <c r="O657" i="19"/>
  <c r="M24" i="19"/>
  <c r="O631" i="20"/>
  <c r="L629" i="20"/>
  <c r="O629" i="20" s="1"/>
  <c r="I131" i="20"/>
  <c r="K131" i="20" s="1"/>
  <c r="K143" i="20"/>
  <c r="O12" i="20"/>
  <c r="L9" i="20"/>
  <c r="L544" i="20"/>
  <c r="O544" i="20" s="1"/>
  <c r="O317" i="20"/>
  <c r="L315" i="20"/>
  <c r="O315" i="20" s="1"/>
  <c r="O43" i="20"/>
  <c r="N41" i="20"/>
  <c r="P41" i="20" s="1"/>
  <c r="P43" i="20"/>
  <c r="N20" i="20"/>
  <c r="N18" i="20" s="1"/>
  <c r="N13" i="20"/>
  <c r="N21" i="20"/>
  <c r="O21" i="20" s="1"/>
  <c r="P9" i="20"/>
  <c r="N66" i="18"/>
  <c r="O66" i="18" s="1"/>
  <c r="P152" i="19"/>
  <c r="I131" i="19"/>
  <c r="K131" i="19" s="1"/>
  <c r="K143" i="19"/>
  <c r="L315" i="15"/>
  <c r="O315" i="15" s="1"/>
  <c r="O330" i="17"/>
  <c r="P183" i="17"/>
  <c r="L227" i="18"/>
  <c r="O317" i="18"/>
  <c r="O263" i="16"/>
  <c r="L389" i="19"/>
  <c r="O389" i="19" s="1"/>
  <c r="P300" i="19"/>
  <c r="O43" i="19"/>
  <c r="L13" i="19"/>
  <c r="L11" i="19" s="1"/>
  <c r="L786" i="19"/>
  <c r="O786" i="19" s="1"/>
  <c r="O788" i="19"/>
  <c r="O55" i="13"/>
  <c r="L467" i="13"/>
  <c r="O467" i="13" s="1"/>
  <c r="L16" i="15"/>
  <c r="L14" i="15" s="1"/>
  <c r="P121" i="17"/>
  <c r="O167" i="16"/>
  <c r="L544" i="18"/>
  <c r="O544" i="18" s="1"/>
  <c r="O280" i="18"/>
  <c r="P318" i="18"/>
  <c r="K364" i="19"/>
  <c r="P167" i="19"/>
  <c r="L685" i="17"/>
  <c r="O685" i="17" s="1"/>
  <c r="O90" i="19"/>
  <c r="O347" i="14"/>
  <c r="L34" i="15"/>
  <c r="O34" i="15" s="1"/>
  <c r="P328" i="16"/>
  <c r="L227" i="17"/>
  <c r="O68" i="18"/>
  <c r="N41" i="19"/>
  <c r="O41" i="19" s="1"/>
  <c r="O56" i="14"/>
  <c r="K559" i="16"/>
  <c r="L389" i="18"/>
  <c r="O389" i="18" s="1"/>
  <c r="M277" i="15"/>
  <c r="P277" i="15" s="1"/>
  <c r="L523" i="16"/>
  <c r="O523" i="16" s="1"/>
  <c r="I418" i="17"/>
  <c r="K418" i="17" s="1"/>
  <c r="M261" i="18"/>
  <c r="P261" i="18" s="1"/>
  <c r="P168" i="18"/>
  <c r="O261" i="19"/>
  <c r="L277" i="19"/>
  <c r="O277" i="19" s="1"/>
  <c r="P345" i="9"/>
  <c r="P88" i="15"/>
  <c r="P263" i="16"/>
  <c r="P149" i="17"/>
  <c r="L544" i="17"/>
  <c r="O544" i="17" s="1"/>
  <c r="K537" i="18"/>
  <c r="P351" i="18"/>
  <c r="P279" i="18"/>
  <c r="L629" i="19"/>
  <c r="O629" i="19" s="1"/>
  <c r="O181" i="19"/>
  <c r="O183" i="19"/>
  <c r="P90" i="15"/>
  <c r="M13" i="17"/>
  <c r="M11" i="17" s="1"/>
  <c r="O331" i="17"/>
  <c r="O151" i="17"/>
  <c r="N328" i="19"/>
  <c r="O328" i="19" s="1"/>
  <c r="M165" i="19"/>
  <c r="P165" i="19" s="1"/>
  <c r="L66" i="19"/>
  <c r="O66" i="19" s="1"/>
  <c r="L30" i="19"/>
  <c r="O33" i="19"/>
  <c r="P317" i="19"/>
  <c r="M315" i="19"/>
  <c r="P315" i="19" s="1"/>
  <c r="O90" i="15"/>
  <c r="O90" i="16"/>
  <c r="P330" i="18"/>
  <c r="O23" i="18"/>
  <c r="P330" i="19"/>
  <c r="M328" i="19"/>
  <c r="L389" i="13"/>
  <c r="O389" i="13" s="1"/>
  <c r="P167" i="13"/>
  <c r="L24" i="19"/>
  <c r="L16" i="19"/>
  <c r="O26" i="19"/>
  <c r="K559" i="12"/>
  <c r="M20" i="17"/>
  <c r="M18" i="17" s="1"/>
  <c r="O687" i="19"/>
  <c r="L685" i="19"/>
  <c r="O685" i="19" s="1"/>
  <c r="I543" i="19"/>
  <c r="K543" i="19" s="1"/>
  <c r="K559" i="19"/>
  <c r="M88" i="19"/>
  <c r="P88" i="19" s="1"/>
  <c r="P90" i="19"/>
  <c r="N16" i="19"/>
  <c r="N24" i="19"/>
  <c r="I226" i="19"/>
  <c r="K226" i="19" s="1"/>
  <c r="N149" i="19"/>
  <c r="P151" i="19"/>
  <c r="P351" i="19"/>
  <c r="K433" i="19"/>
  <c r="I417" i="19"/>
  <c r="K417" i="19" s="1"/>
  <c r="N345" i="19"/>
  <c r="O345" i="19" s="1"/>
  <c r="O347" i="19"/>
  <c r="L53" i="19"/>
  <c r="O55" i="19"/>
  <c r="O23" i="13"/>
  <c r="L444" i="19"/>
  <c r="O444" i="19" s="1"/>
  <c r="O446" i="19"/>
  <c r="P545" i="19"/>
  <c r="M544" i="19"/>
  <c r="P544" i="19" s="1"/>
  <c r="I418" i="19"/>
  <c r="K418" i="19" s="1"/>
  <c r="K434" i="19"/>
  <c r="P347" i="19"/>
  <c r="M345" i="19"/>
  <c r="M181" i="19"/>
  <c r="P181" i="19" s="1"/>
  <c r="P183" i="19"/>
  <c r="N13" i="19"/>
  <c r="N21" i="19"/>
  <c r="O21" i="19" s="1"/>
  <c r="N20" i="19"/>
  <c r="N18" i="19" s="1"/>
  <c r="P300" i="13"/>
  <c r="P168" i="13"/>
  <c r="L402" i="18"/>
  <c r="O402" i="18" s="1"/>
  <c r="O421" i="19"/>
  <c r="L419" i="19"/>
  <c r="L544" i="19"/>
  <c r="O544" i="19" s="1"/>
  <c r="M20" i="19"/>
  <c r="M13" i="19"/>
  <c r="P23" i="19"/>
  <c r="O167" i="19"/>
  <c r="L165" i="19"/>
  <c r="O165" i="19" s="1"/>
  <c r="M298" i="19"/>
  <c r="P298" i="19" s="1"/>
  <c r="O167" i="13"/>
  <c r="O328" i="18"/>
  <c r="O525" i="19"/>
  <c r="L523" i="19"/>
  <c r="O523" i="19" s="1"/>
  <c r="P419" i="19"/>
  <c r="P134" i="19"/>
  <c r="M132" i="19"/>
  <c r="P132" i="19" s="1"/>
  <c r="O12" i="19"/>
  <c r="L9" i="19"/>
  <c r="L298" i="19"/>
  <c r="O298" i="19" s="1"/>
  <c r="O238" i="19"/>
  <c r="L227" i="19"/>
  <c r="K77" i="19"/>
  <c r="I65" i="19"/>
  <c r="K65" i="19" s="1"/>
  <c r="M28" i="19"/>
  <c r="P28" i="19" s="1"/>
  <c r="P29" i="19"/>
  <c r="L20" i="19"/>
  <c r="K433" i="17"/>
  <c r="O469" i="17"/>
  <c r="K364" i="18"/>
  <c r="L315" i="19"/>
  <c r="O315" i="19" s="1"/>
  <c r="L467" i="19"/>
  <c r="O467" i="19" s="1"/>
  <c r="O469" i="19"/>
  <c r="P9" i="19"/>
  <c r="I64" i="19"/>
  <c r="K64" i="19" s="1"/>
  <c r="K76" i="19"/>
  <c r="M14" i="19"/>
  <c r="P15" i="19"/>
  <c r="M53" i="19"/>
  <c r="P53" i="19" s="1"/>
  <c r="O23" i="19"/>
  <c r="M315" i="8"/>
  <c r="P315" i="8" s="1"/>
  <c r="L34" i="13"/>
  <c r="O34" i="13" s="1"/>
  <c r="O263" i="15"/>
  <c r="K559" i="17"/>
  <c r="L389" i="17"/>
  <c r="O389" i="17" s="1"/>
  <c r="O315" i="18"/>
  <c r="N14" i="18"/>
  <c r="O43" i="18"/>
  <c r="O184" i="18"/>
  <c r="O788" i="18"/>
  <c r="L786" i="18"/>
  <c r="O786" i="18" s="1"/>
  <c r="I543" i="9"/>
  <c r="K543" i="9" s="1"/>
  <c r="O263" i="11"/>
  <c r="N24" i="18"/>
  <c r="P347" i="17"/>
  <c r="K434" i="18"/>
  <c r="I418" i="18"/>
  <c r="K418" i="18" s="1"/>
  <c r="P151" i="17"/>
  <c r="L21" i="17"/>
  <c r="O21" i="17" s="1"/>
  <c r="P53" i="17"/>
  <c r="O261" i="18"/>
  <c r="M132" i="18"/>
  <c r="P132" i="18" s="1"/>
  <c r="K559" i="14"/>
  <c r="P55" i="17"/>
  <c r="O347" i="17"/>
  <c r="L30" i="17"/>
  <c r="O30" i="17" s="1"/>
  <c r="O59" i="18"/>
  <c r="L149" i="18"/>
  <c r="O149" i="18" s="1"/>
  <c r="O151" i="18"/>
  <c r="O347" i="15"/>
  <c r="M345" i="17"/>
  <c r="P345" i="17" s="1"/>
  <c r="M328" i="18"/>
  <c r="P328" i="18" s="1"/>
  <c r="L467" i="18"/>
  <c r="O467" i="18" s="1"/>
  <c r="L132" i="18"/>
  <c r="O132" i="18" s="1"/>
  <c r="P184" i="18"/>
  <c r="L34" i="16"/>
  <c r="O34" i="16" s="1"/>
  <c r="O167" i="17"/>
  <c r="O263" i="18"/>
  <c r="L34" i="17"/>
  <c r="O34" i="17" s="1"/>
  <c r="O55" i="17"/>
  <c r="O36" i="18"/>
  <c r="L30" i="18"/>
  <c r="O30" i="18" s="1"/>
  <c r="O41" i="18"/>
  <c r="O9" i="18"/>
  <c r="L13" i="17"/>
  <c r="L11" i="17" s="1"/>
  <c r="L31" i="17"/>
  <c r="O31" i="17" s="1"/>
  <c r="O631" i="18"/>
  <c r="L629" i="18"/>
  <c r="O629" i="18" s="1"/>
  <c r="M414" i="18"/>
  <c r="P414" i="18" s="1"/>
  <c r="P419" i="18"/>
  <c r="K275" i="18"/>
  <c r="N345" i="18"/>
  <c r="O345" i="18" s="1"/>
  <c r="N181" i="18"/>
  <c r="O181" i="18" s="1"/>
  <c r="P167" i="18"/>
  <c r="O421" i="18"/>
  <c r="L419" i="18"/>
  <c r="P317" i="18"/>
  <c r="M315" i="18"/>
  <c r="P315" i="18" s="1"/>
  <c r="M277" i="18"/>
  <c r="P277" i="18" s="1"/>
  <c r="O90" i="18"/>
  <c r="L88" i="18"/>
  <c r="O88" i="18" s="1"/>
  <c r="O165" i="18"/>
  <c r="P15" i="18"/>
  <c r="M9" i="18"/>
  <c r="O167" i="18"/>
  <c r="N9" i="18"/>
  <c r="P391" i="18"/>
  <c r="M389" i="18"/>
  <c r="P389" i="18" s="1"/>
  <c r="P183" i="18"/>
  <c r="N13" i="18"/>
  <c r="N21" i="18"/>
  <c r="O21" i="18" s="1"/>
  <c r="N20" i="18"/>
  <c r="N18" i="18" s="1"/>
  <c r="O29" i="18"/>
  <c r="L53" i="18"/>
  <c r="O55" i="18"/>
  <c r="O15" i="18"/>
  <c r="M28" i="18"/>
  <c r="P28" i="18" s="1"/>
  <c r="P29" i="18"/>
  <c r="P330" i="16"/>
  <c r="O687" i="18"/>
  <c r="L685" i="18"/>
  <c r="O685" i="18" s="1"/>
  <c r="I543" i="18"/>
  <c r="K543" i="18" s="1"/>
  <c r="K559" i="18"/>
  <c r="L298" i="18"/>
  <c r="O298" i="18" s="1"/>
  <c r="O300" i="18"/>
  <c r="P165" i="18"/>
  <c r="L16" i="18"/>
  <c r="O16" i="18" s="1"/>
  <c r="O26" i="18"/>
  <c r="P23" i="18"/>
  <c r="M20" i="18"/>
  <c r="M13" i="18"/>
  <c r="P300" i="16"/>
  <c r="P152" i="16"/>
  <c r="P66" i="17"/>
  <c r="P545" i="18"/>
  <c r="M544" i="18"/>
  <c r="P544" i="18" s="1"/>
  <c r="O279" i="18"/>
  <c r="L277" i="18"/>
  <c r="O277" i="18" s="1"/>
  <c r="M298" i="18"/>
  <c r="P298" i="18" s="1"/>
  <c r="K433" i="18"/>
  <c r="I417" i="18"/>
  <c r="K417" i="18" s="1"/>
  <c r="K288" i="18"/>
  <c r="P26" i="18"/>
  <c r="M16" i="18"/>
  <c r="P16" i="18" s="1"/>
  <c r="M24" i="18"/>
  <c r="P68" i="17"/>
  <c r="P121" i="18"/>
  <c r="N119" i="18"/>
  <c r="O119" i="18" s="1"/>
  <c r="P43" i="18"/>
  <c r="M41" i="18"/>
  <c r="N53" i="18"/>
  <c r="P53" i="18" s="1"/>
  <c r="P55" i="18"/>
  <c r="M181" i="18"/>
  <c r="M21" i="18"/>
  <c r="O330" i="15"/>
  <c r="L277" i="15"/>
  <c r="O277" i="15" s="1"/>
  <c r="N165" i="16"/>
  <c r="O165" i="16" s="1"/>
  <c r="O345" i="17"/>
  <c r="O33" i="17"/>
  <c r="L16" i="17"/>
  <c r="L14" i="17" s="1"/>
  <c r="O446" i="18"/>
  <c r="L444" i="18"/>
  <c r="O444" i="18" s="1"/>
  <c r="P347" i="18"/>
  <c r="P404" i="18"/>
  <c r="M402" i="18"/>
  <c r="P402" i="18" s="1"/>
  <c r="I226" i="18"/>
  <c r="K226" i="18" s="1"/>
  <c r="K77" i="18"/>
  <c r="I65" i="18"/>
  <c r="K65" i="18" s="1"/>
  <c r="L20" i="18"/>
  <c r="O121" i="18"/>
  <c r="M88" i="18"/>
  <c r="P88" i="18" s="1"/>
  <c r="P90" i="18"/>
  <c r="L24" i="18"/>
  <c r="L227" i="15"/>
  <c r="L119" i="17"/>
  <c r="O119" i="17" s="1"/>
  <c r="P168" i="17"/>
  <c r="L315" i="17"/>
  <c r="O315" i="17" s="1"/>
  <c r="M149" i="15"/>
  <c r="P149" i="15" s="1"/>
  <c r="O55" i="14"/>
  <c r="O26" i="15"/>
  <c r="K288" i="16"/>
  <c r="L315" i="16"/>
  <c r="O315" i="16" s="1"/>
  <c r="L402" i="17"/>
  <c r="O402" i="17" s="1"/>
  <c r="P348" i="17"/>
  <c r="O330" i="13"/>
  <c r="M119" i="13"/>
  <c r="P119" i="13" s="1"/>
  <c r="P331" i="17"/>
  <c r="L53" i="17"/>
  <c r="O53" i="17" s="1"/>
  <c r="O238" i="15"/>
  <c r="L149" i="17"/>
  <c r="O149" i="17" s="1"/>
  <c r="P134" i="10"/>
  <c r="L402" i="15"/>
  <c r="O402" i="15" s="1"/>
  <c r="P351" i="15"/>
  <c r="N261" i="15"/>
  <c r="O261" i="15" s="1"/>
  <c r="K76" i="15"/>
  <c r="L88" i="15"/>
  <c r="O88" i="15" s="1"/>
  <c r="K364" i="16"/>
  <c r="K174" i="17"/>
  <c r="P331" i="14"/>
  <c r="M165" i="16"/>
  <c r="O298" i="16"/>
  <c r="P151" i="16"/>
  <c r="O43" i="16"/>
  <c r="M16" i="17"/>
  <c r="L30" i="16"/>
  <c r="O30" i="16" s="1"/>
  <c r="O421" i="17"/>
  <c r="L419" i="17"/>
  <c r="O12" i="17"/>
  <c r="L9" i="17"/>
  <c r="M414" i="17"/>
  <c r="P414" i="17" s="1"/>
  <c r="O263" i="17"/>
  <c r="L261" i="17"/>
  <c r="O261" i="17" s="1"/>
  <c r="L66" i="17"/>
  <c r="O66" i="17" s="1"/>
  <c r="O68" i="17"/>
  <c r="P404" i="17"/>
  <c r="M402" i="17"/>
  <c r="P402" i="17" s="1"/>
  <c r="M261" i="17"/>
  <c r="P261" i="17" s="1"/>
  <c r="L132" i="17"/>
  <c r="O132" i="17" s="1"/>
  <c r="M328" i="17"/>
  <c r="P330" i="17"/>
  <c r="P167" i="17"/>
  <c r="M165" i="17"/>
  <c r="P391" i="17"/>
  <c r="M389" i="17"/>
  <c r="P389" i="17" s="1"/>
  <c r="O41" i="17"/>
  <c r="N16" i="17"/>
  <c r="O26" i="17"/>
  <c r="P44" i="17"/>
  <c r="O44" i="17"/>
  <c r="N24" i="17"/>
  <c r="N88" i="17"/>
  <c r="O88" i="17" s="1"/>
  <c r="P41" i="17"/>
  <c r="I131" i="17"/>
  <c r="K131" i="17" s="1"/>
  <c r="K143" i="17"/>
  <c r="N414" i="17"/>
  <c r="P19" i="17"/>
  <c r="N328" i="17"/>
  <c r="O328" i="17" s="1"/>
  <c r="P43" i="17"/>
  <c r="P55" i="16"/>
  <c r="O29" i="17"/>
  <c r="O31" i="16"/>
  <c r="P300" i="17"/>
  <c r="M298" i="17"/>
  <c r="P298" i="17" s="1"/>
  <c r="P21" i="17"/>
  <c r="O446" i="17"/>
  <c r="L444" i="17"/>
  <c r="O444" i="17" s="1"/>
  <c r="P280" i="17"/>
  <c r="O280" i="17"/>
  <c r="P12" i="17"/>
  <c r="M9" i="17"/>
  <c r="M28" i="17"/>
  <c r="P28" i="17" s="1"/>
  <c r="P26" i="17"/>
  <c r="O391" i="16"/>
  <c r="O788" i="17"/>
  <c r="L786" i="17"/>
  <c r="O786" i="17" s="1"/>
  <c r="N277" i="17"/>
  <c r="P277" i="17" s="1"/>
  <c r="P90" i="17"/>
  <c r="M88" i="17"/>
  <c r="O19" i="17"/>
  <c r="L18" i="17"/>
  <c r="M132" i="17"/>
  <c r="P132" i="17" s="1"/>
  <c r="P134" i="17"/>
  <c r="P279" i="17"/>
  <c r="O43" i="17"/>
  <c r="N20" i="17"/>
  <c r="N13" i="17"/>
  <c r="O183" i="17"/>
  <c r="P23" i="17"/>
  <c r="P55" i="13"/>
  <c r="L402" i="16"/>
  <c r="O402" i="16" s="1"/>
  <c r="O33" i="16"/>
  <c r="O629" i="17"/>
  <c r="O631" i="17"/>
  <c r="O277" i="17"/>
  <c r="O300" i="17"/>
  <c r="L298" i="17"/>
  <c r="O298" i="17" s="1"/>
  <c r="I64" i="17"/>
  <c r="K64" i="17" s="1"/>
  <c r="K76" i="17"/>
  <c r="I65" i="17"/>
  <c r="K65" i="17" s="1"/>
  <c r="K77" i="17"/>
  <c r="K364" i="17"/>
  <c r="O23" i="17"/>
  <c r="N9" i="17"/>
  <c r="N165" i="17"/>
  <c r="O165" i="17" s="1"/>
  <c r="N181" i="17"/>
  <c r="P181" i="17" s="1"/>
  <c r="P167" i="10"/>
  <c r="M315" i="14"/>
  <c r="P315" i="14" s="1"/>
  <c r="P55" i="15"/>
  <c r="L53" i="16"/>
  <c r="O53" i="16" s="1"/>
  <c r="K76" i="16"/>
  <c r="M389" i="16"/>
  <c r="P389" i="16" s="1"/>
  <c r="O348" i="10"/>
  <c r="K364" i="12"/>
  <c r="M389" i="12"/>
  <c r="P389" i="12" s="1"/>
  <c r="O525" i="15"/>
  <c r="M21" i="15"/>
  <c r="L389" i="14"/>
  <c r="O389" i="14" s="1"/>
  <c r="O279" i="16"/>
  <c r="K77" i="16"/>
  <c r="N41" i="16"/>
  <c r="L227" i="14"/>
  <c r="P183" i="15"/>
  <c r="P347" i="15"/>
  <c r="M149" i="8"/>
  <c r="P149" i="8" s="1"/>
  <c r="L277" i="11"/>
  <c r="O277" i="11" s="1"/>
  <c r="N345" i="15"/>
  <c r="P345" i="15" s="1"/>
  <c r="P23" i="15"/>
  <c r="N53" i="15"/>
  <c r="O53" i="15" s="1"/>
  <c r="M315" i="16"/>
  <c r="P315" i="16" s="1"/>
  <c r="K434" i="16"/>
  <c r="I418" i="16"/>
  <c r="K418" i="16" s="1"/>
  <c r="O121" i="14"/>
  <c r="I418" i="15"/>
  <c r="K418" i="15" s="1"/>
  <c r="O121" i="16"/>
  <c r="P68" i="16"/>
  <c r="M66" i="16"/>
  <c r="P66" i="16" s="1"/>
  <c r="L66" i="16"/>
  <c r="O66" i="16" s="1"/>
  <c r="O68" i="16"/>
  <c r="M119" i="16"/>
  <c r="P119" i="16" s="1"/>
  <c r="P121" i="16"/>
  <c r="L298" i="11"/>
  <c r="O298" i="11" s="1"/>
  <c r="P151" i="12"/>
  <c r="P43" i="13"/>
  <c r="M298" i="14"/>
  <c r="P298" i="14" s="1"/>
  <c r="L24" i="15"/>
  <c r="L685" i="16"/>
  <c r="O685" i="16" s="1"/>
  <c r="O347" i="16"/>
  <c r="N345" i="16"/>
  <c r="O345" i="16" s="1"/>
  <c r="N88" i="16"/>
  <c r="P90" i="16"/>
  <c r="P347" i="10"/>
  <c r="P183" i="14"/>
  <c r="M132" i="14"/>
  <c r="P132" i="14" s="1"/>
  <c r="I64" i="14"/>
  <c r="K64" i="14" s="1"/>
  <c r="O469" i="15"/>
  <c r="P121" i="15"/>
  <c r="O91" i="15"/>
  <c r="N10" i="14"/>
  <c r="O183" i="14"/>
  <c r="N20" i="14"/>
  <c r="N18" i="14" s="1"/>
  <c r="I131" i="16"/>
  <c r="K131" i="16" s="1"/>
  <c r="K143" i="16"/>
  <c r="P151" i="14"/>
  <c r="L467" i="14"/>
  <c r="O467" i="14" s="1"/>
  <c r="O300" i="16"/>
  <c r="N24" i="16"/>
  <c r="P24" i="16" s="1"/>
  <c r="O184" i="16"/>
  <c r="P167" i="15"/>
  <c r="P43" i="15"/>
  <c r="K364" i="6"/>
  <c r="L523" i="12"/>
  <c r="O523" i="12" s="1"/>
  <c r="N21" i="12"/>
  <c r="P21" i="12" s="1"/>
  <c r="P317" i="15"/>
  <c r="N41" i="15"/>
  <c r="O41" i="15" s="1"/>
  <c r="M402" i="15"/>
  <c r="P402" i="15" s="1"/>
  <c r="P26" i="16"/>
  <c r="M16" i="16"/>
  <c r="P16" i="16" s="1"/>
  <c r="O330" i="16"/>
  <c r="L328" i="16"/>
  <c r="O328" i="16" s="1"/>
  <c r="L149" i="16"/>
  <c r="O149" i="16" s="1"/>
  <c r="O151" i="16"/>
  <c r="O15" i="16"/>
  <c r="P348" i="16"/>
  <c r="O348" i="16"/>
  <c r="O181" i="4"/>
  <c r="O631" i="16"/>
  <c r="L629" i="16"/>
  <c r="O629" i="16" s="1"/>
  <c r="L419" i="16"/>
  <c r="O421" i="16"/>
  <c r="O26" i="16"/>
  <c r="L16" i="16"/>
  <c r="O16" i="16" s="1"/>
  <c r="L24" i="16"/>
  <c r="O238" i="16"/>
  <c r="L227" i="16"/>
  <c r="O546" i="16"/>
  <c r="L544" i="16"/>
  <c r="O544" i="16" s="1"/>
  <c r="O134" i="16"/>
  <c r="L132" i="16"/>
  <c r="O132" i="16" s="1"/>
  <c r="M414" i="16"/>
  <c r="P414" i="16" s="1"/>
  <c r="P419" i="16"/>
  <c r="P263" i="9"/>
  <c r="K237" i="16"/>
  <c r="I226" i="16"/>
  <c r="K226" i="16" s="1"/>
  <c r="L444" i="16"/>
  <c r="O444" i="16" s="1"/>
  <c r="O446" i="16"/>
  <c r="M28" i="16"/>
  <c r="P28" i="16" s="1"/>
  <c r="P29" i="16"/>
  <c r="K433" i="16"/>
  <c r="I417" i="16"/>
  <c r="K417" i="16" s="1"/>
  <c r="O9" i="16"/>
  <c r="O55" i="15"/>
  <c r="O469" i="16"/>
  <c r="L467" i="16"/>
  <c r="O467" i="16" s="1"/>
  <c r="N21" i="16"/>
  <c r="N20" i="16"/>
  <c r="N18" i="16" s="1"/>
  <c r="N13" i="16"/>
  <c r="M132" i="16"/>
  <c r="P132" i="16" s="1"/>
  <c r="O29" i="16"/>
  <c r="O23" i="16"/>
  <c r="L20" i="16"/>
  <c r="L13" i="16"/>
  <c r="L21" i="16"/>
  <c r="O43" i="9"/>
  <c r="P15" i="16"/>
  <c r="M298" i="16"/>
  <c r="P298" i="16" s="1"/>
  <c r="L544" i="13"/>
  <c r="O544" i="13" s="1"/>
  <c r="O351" i="16"/>
  <c r="P351" i="16"/>
  <c r="L655" i="16"/>
  <c r="O655" i="16" s="1"/>
  <c r="M402" i="16"/>
  <c r="P402" i="16" s="1"/>
  <c r="P404" i="16"/>
  <c r="O183" i="16"/>
  <c r="P183" i="16"/>
  <c r="N181" i="16"/>
  <c r="P9" i="16"/>
  <c r="P23" i="16"/>
  <c r="M20" i="16"/>
  <c r="M13" i="16"/>
  <c r="M21" i="16"/>
  <c r="M277" i="16"/>
  <c r="P277" i="16" s="1"/>
  <c r="O56" i="13"/>
  <c r="P183" i="13"/>
  <c r="P391" i="13"/>
  <c r="M66" i="14"/>
  <c r="P66" i="14" s="1"/>
  <c r="L132" i="15"/>
  <c r="O132" i="15" s="1"/>
  <c r="P181" i="15"/>
  <c r="O167" i="15"/>
  <c r="M165" i="15"/>
  <c r="P165" i="15" s="1"/>
  <c r="O43" i="15"/>
  <c r="L419" i="15"/>
  <c r="O419" i="15" s="1"/>
  <c r="M53" i="13"/>
  <c r="P53" i="13" s="1"/>
  <c r="M165" i="13"/>
  <c r="P165" i="13" s="1"/>
  <c r="M261" i="15"/>
  <c r="P261" i="15" s="1"/>
  <c r="L149" i="15"/>
  <c r="O149" i="15" s="1"/>
  <c r="P26" i="15"/>
  <c r="M16" i="15"/>
  <c r="M14" i="15" s="1"/>
  <c r="N21" i="15"/>
  <c r="O21" i="15" s="1"/>
  <c r="N20" i="15"/>
  <c r="N18" i="15" s="1"/>
  <c r="N13" i="15"/>
  <c r="P68" i="15"/>
  <c r="M66" i="15"/>
  <c r="P66" i="15" s="1"/>
  <c r="M20" i="15"/>
  <c r="L655" i="15"/>
  <c r="O655" i="15" s="1"/>
  <c r="N88" i="14"/>
  <c r="O88" i="14" s="1"/>
  <c r="L165" i="13"/>
  <c r="O165" i="13" s="1"/>
  <c r="N21" i="14"/>
  <c r="P21" i="14" s="1"/>
  <c r="N24" i="14"/>
  <c r="M389" i="15"/>
  <c r="P389" i="15" s="1"/>
  <c r="O33" i="15"/>
  <c r="L31" i="15"/>
  <c r="O31" i="15" s="1"/>
  <c r="L30" i="15"/>
  <c r="L66" i="15"/>
  <c r="O66" i="15" s="1"/>
  <c r="O68" i="15"/>
  <c r="P90" i="14"/>
  <c r="L34" i="14"/>
  <c r="O34" i="14" s="1"/>
  <c r="O26" i="14"/>
  <c r="K364" i="15"/>
  <c r="L165" i="15"/>
  <c r="O165" i="15" s="1"/>
  <c r="N16" i="15"/>
  <c r="N14" i="15" s="1"/>
  <c r="N24" i="15"/>
  <c r="O391" i="15"/>
  <c r="L389" i="15"/>
  <c r="O389" i="15" s="1"/>
  <c r="P298" i="15"/>
  <c r="O298" i="15"/>
  <c r="O525" i="11"/>
  <c r="O181" i="12"/>
  <c r="O43" i="14"/>
  <c r="O546" i="15"/>
  <c r="L544" i="15"/>
  <c r="O544" i="15" s="1"/>
  <c r="L119" i="15"/>
  <c r="O121" i="15"/>
  <c r="M414" i="15"/>
  <c r="P414" i="15" s="1"/>
  <c r="P419" i="15"/>
  <c r="O300" i="15"/>
  <c r="I226" i="15"/>
  <c r="K226" i="15" s="1"/>
  <c r="P331" i="15"/>
  <c r="I65" i="15"/>
  <c r="K65" i="15" s="1"/>
  <c r="K77" i="15"/>
  <c r="M28" i="15"/>
  <c r="P28" i="15" s="1"/>
  <c r="P29" i="15"/>
  <c r="L132" i="13"/>
  <c r="O132" i="13" s="1"/>
  <c r="O165" i="14"/>
  <c r="I131" i="15"/>
  <c r="K131" i="15" s="1"/>
  <c r="K143" i="15"/>
  <c r="L181" i="15"/>
  <c r="O181" i="15" s="1"/>
  <c r="O183" i="15"/>
  <c r="O184" i="15"/>
  <c r="L9" i="15"/>
  <c r="O15" i="15"/>
  <c r="O687" i="12"/>
  <c r="L24" i="14"/>
  <c r="P165" i="14"/>
  <c r="M132" i="15"/>
  <c r="P134" i="15"/>
  <c r="O23" i="15"/>
  <c r="L20" i="15"/>
  <c r="L13" i="15"/>
  <c r="O19" i="15"/>
  <c r="M261" i="12"/>
  <c r="P261" i="12" s="1"/>
  <c r="O66" i="13"/>
  <c r="O261" i="13"/>
  <c r="L16" i="14"/>
  <c r="O16" i="14" s="1"/>
  <c r="O788" i="15"/>
  <c r="L786" i="15"/>
  <c r="O786" i="15" s="1"/>
  <c r="O446" i="15"/>
  <c r="L444" i="15"/>
  <c r="O444" i="15" s="1"/>
  <c r="O631" i="15"/>
  <c r="L629" i="15"/>
  <c r="O629" i="15" s="1"/>
  <c r="K433" i="15"/>
  <c r="I417" i="15"/>
  <c r="K417" i="15" s="1"/>
  <c r="P330" i="15"/>
  <c r="P9" i="15"/>
  <c r="P183" i="12"/>
  <c r="L315" i="13"/>
  <c r="O315" i="13" s="1"/>
  <c r="O167" i="14"/>
  <c r="P300" i="15"/>
  <c r="N328" i="15"/>
  <c r="K174" i="15"/>
  <c r="I164" i="15"/>
  <c r="K164" i="15" s="1"/>
  <c r="P15" i="15"/>
  <c r="O44" i="15"/>
  <c r="O687" i="13"/>
  <c r="L31" i="13"/>
  <c r="O31" i="13" s="1"/>
  <c r="O347" i="13"/>
  <c r="L655" i="13"/>
  <c r="O655" i="13" s="1"/>
  <c r="O238" i="14"/>
  <c r="L41" i="14"/>
  <c r="M88" i="14"/>
  <c r="I543" i="13"/>
  <c r="K543" i="13" s="1"/>
  <c r="L315" i="14"/>
  <c r="O315" i="14" s="1"/>
  <c r="P167" i="14"/>
  <c r="L277" i="14"/>
  <c r="O277" i="14" s="1"/>
  <c r="L655" i="14"/>
  <c r="O655" i="14" s="1"/>
  <c r="O68" i="13"/>
  <c r="P181" i="12"/>
  <c r="L629" i="14"/>
  <c r="O629" i="14" s="1"/>
  <c r="N149" i="14"/>
  <c r="O149" i="14" s="1"/>
  <c r="O328" i="14"/>
  <c r="O33" i="14"/>
  <c r="L31" i="14"/>
  <c r="O31" i="14" s="1"/>
  <c r="L66" i="14"/>
  <c r="O66" i="14" s="1"/>
  <c r="O68" i="14"/>
  <c r="O90" i="13"/>
  <c r="O151" i="13"/>
  <c r="M181" i="14"/>
  <c r="P181" i="14" s="1"/>
  <c r="P263" i="14"/>
  <c r="M261" i="14"/>
  <c r="P261" i="14" s="1"/>
  <c r="N345" i="14"/>
  <c r="P345" i="14" s="1"/>
  <c r="L685" i="11"/>
  <c r="O685" i="11" s="1"/>
  <c r="P53" i="12"/>
  <c r="K77" i="13"/>
  <c r="P347" i="14"/>
  <c r="L181" i="14"/>
  <c r="O181" i="14" s="1"/>
  <c r="L298" i="14"/>
  <c r="O298" i="14" s="1"/>
  <c r="P404" i="14"/>
  <c r="M402" i="14"/>
  <c r="P402" i="14" s="1"/>
  <c r="L30" i="14"/>
  <c r="O30" i="14" s="1"/>
  <c r="K364" i="11"/>
  <c r="L389" i="12"/>
  <c r="O389" i="12" s="1"/>
  <c r="K364" i="14"/>
  <c r="M119" i="14"/>
  <c r="P119" i="14" s="1"/>
  <c r="O53" i="14"/>
  <c r="K434" i="14"/>
  <c r="I418" i="14"/>
  <c r="K418" i="14" s="1"/>
  <c r="O788" i="14"/>
  <c r="L786" i="14"/>
  <c r="O786" i="14" s="1"/>
  <c r="O446" i="14"/>
  <c r="L444" i="14"/>
  <c r="O444" i="14" s="1"/>
  <c r="I226" i="14"/>
  <c r="K226" i="14" s="1"/>
  <c r="K237" i="14"/>
  <c r="P12" i="14"/>
  <c r="M9" i="14"/>
  <c r="L261" i="14"/>
  <c r="O261" i="14" s="1"/>
  <c r="O263" i="14"/>
  <c r="K77" i="14"/>
  <c r="I65" i="14"/>
  <c r="K65" i="14" s="1"/>
  <c r="M414" i="14"/>
  <c r="P414" i="14" s="1"/>
  <c r="P419" i="14"/>
  <c r="L402" i="14"/>
  <c r="O402" i="14" s="1"/>
  <c r="P317" i="2"/>
  <c r="P26" i="14"/>
  <c r="M16" i="14"/>
  <c r="O29" i="14"/>
  <c r="K433" i="14"/>
  <c r="L132" i="14"/>
  <c r="O132" i="14" s="1"/>
  <c r="O134" i="14"/>
  <c r="P152" i="14"/>
  <c r="O152" i="14"/>
  <c r="P23" i="14"/>
  <c r="M20" i="14"/>
  <c r="M13" i="14"/>
  <c r="M328" i="14"/>
  <c r="P328" i="14" s="1"/>
  <c r="P68" i="13"/>
  <c r="O23" i="14"/>
  <c r="L20" i="14"/>
  <c r="L13" i="14"/>
  <c r="L21" i="14"/>
  <c r="K143" i="14"/>
  <c r="I131" i="14"/>
  <c r="K131" i="14" s="1"/>
  <c r="O15" i="14"/>
  <c r="O151" i="14"/>
  <c r="L13" i="13"/>
  <c r="L11" i="13" s="1"/>
  <c r="O421" i="14"/>
  <c r="L419" i="14"/>
  <c r="N414" i="14"/>
  <c r="N9" i="14"/>
  <c r="N11" i="14"/>
  <c r="P19" i="14"/>
  <c r="O9" i="14"/>
  <c r="M277" i="14"/>
  <c r="P277" i="14" s="1"/>
  <c r="O546" i="14"/>
  <c r="L544" i="14"/>
  <c r="O544" i="14" s="1"/>
  <c r="P43" i="14"/>
  <c r="N41" i="14"/>
  <c r="P55" i="14"/>
  <c r="M53" i="14"/>
  <c r="P53" i="14" s="1"/>
  <c r="M24" i="14"/>
  <c r="O90" i="11"/>
  <c r="P90" i="11"/>
  <c r="L315" i="12"/>
  <c r="O315" i="12" s="1"/>
  <c r="L467" i="12"/>
  <c r="O467" i="12" s="1"/>
  <c r="O525" i="13"/>
  <c r="P347" i="13"/>
  <c r="L20" i="13"/>
  <c r="P55" i="12"/>
  <c r="L30" i="13"/>
  <c r="O30" i="13" s="1"/>
  <c r="L119" i="13"/>
  <c r="O119" i="13" s="1"/>
  <c r="O149" i="13"/>
  <c r="O263" i="13"/>
  <c r="I418" i="12"/>
  <c r="K418" i="12" s="1"/>
  <c r="O134" i="12"/>
  <c r="L402" i="13"/>
  <c r="O402" i="13" s="1"/>
  <c r="O168" i="13"/>
  <c r="N14" i="13"/>
  <c r="L685" i="10"/>
  <c r="O685" i="10" s="1"/>
  <c r="P300" i="12"/>
  <c r="O347" i="12"/>
  <c r="O301" i="6"/>
  <c r="I543" i="10"/>
  <c r="K543" i="10" s="1"/>
  <c r="O184" i="11"/>
  <c r="O345" i="12"/>
  <c r="I64" i="12"/>
  <c r="K64" i="12" s="1"/>
  <c r="M298" i="13"/>
  <c r="P298" i="13" s="1"/>
  <c r="N24" i="13"/>
  <c r="P330" i="11"/>
  <c r="O183" i="12"/>
  <c r="L66" i="10"/>
  <c r="O66" i="10" s="1"/>
  <c r="O33" i="12"/>
  <c r="M315" i="13"/>
  <c r="P315" i="13" s="1"/>
  <c r="M132" i="13"/>
  <c r="P132" i="13" s="1"/>
  <c r="O23" i="11"/>
  <c r="N261" i="11"/>
  <c r="O261" i="11" s="1"/>
  <c r="P331" i="12"/>
  <c r="M16" i="12"/>
  <c r="M14" i="12" s="1"/>
  <c r="L655" i="12"/>
  <c r="O655" i="12" s="1"/>
  <c r="M66" i="13"/>
  <c r="P66" i="13" s="1"/>
  <c r="O88" i="13"/>
  <c r="M261" i="13"/>
  <c r="P261" i="13" s="1"/>
  <c r="M328" i="11"/>
  <c r="P328" i="11" s="1"/>
  <c r="K417" i="12"/>
  <c r="P165" i="12"/>
  <c r="M345" i="13"/>
  <c r="K433" i="13"/>
  <c r="I417" i="13"/>
  <c r="K417" i="13" s="1"/>
  <c r="L444" i="13"/>
  <c r="O444" i="13" s="1"/>
  <c r="O331" i="13"/>
  <c r="O12" i="13"/>
  <c r="L9" i="13"/>
  <c r="L53" i="13"/>
  <c r="O53" i="13" s="1"/>
  <c r="N345" i="13"/>
  <c r="O345" i="13" s="1"/>
  <c r="M20" i="13"/>
  <c r="M18" i="13" s="1"/>
  <c r="M13" i="13"/>
  <c r="P23" i="13"/>
  <c r="M21" i="13"/>
  <c r="O15" i="13"/>
  <c r="P41" i="13"/>
  <c r="P9" i="13"/>
  <c r="P330" i="13"/>
  <c r="N414" i="13"/>
  <c r="L277" i="13"/>
  <c r="O277" i="13" s="1"/>
  <c r="L419" i="13"/>
  <c r="O421" i="13"/>
  <c r="P90" i="13"/>
  <c r="M88" i="13"/>
  <c r="P88" i="13" s="1"/>
  <c r="P91" i="13"/>
  <c r="O29" i="13"/>
  <c r="K237" i="13"/>
  <c r="I226" i="13"/>
  <c r="K226" i="13" s="1"/>
  <c r="P44" i="13"/>
  <c r="O44" i="13"/>
  <c r="P279" i="13"/>
  <c r="M277" i="13"/>
  <c r="P277" i="13" s="1"/>
  <c r="P181" i="13"/>
  <c r="P351" i="13"/>
  <c r="L24" i="13"/>
  <c r="L16" i="13"/>
  <c r="O16" i="13" s="1"/>
  <c r="O26" i="13"/>
  <c r="P26" i="13"/>
  <c r="M16" i="13"/>
  <c r="M328" i="13"/>
  <c r="L149" i="12"/>
  <c r="O149" i="12" s="1"/>
  <c r="O300" i="13"/>
  <c r="L298" i="13"/>
  <c r="O298" i="13" s="1"/>
  <c r="O43" i="13"/>
  <c r="L41" i="13"/>
  <c r="N13" i="13"/>
  <c r="N10" i="13" s="1"/>
  <c r="N21" i="13"/>
  <c r="O21" i="13" s="1"/>
  <c r="N20" i="13"/>
  <c r="N18" i="13" s="1"/>
  <c r="M28" i="13"/>
  <c r="P28" i="13" s="1"/>
  <c r="L227" i="13"/>
  <c r="O631" i="13"/>
  <c r="L629" i="13"/>
  <c r="O629" i="13" s="1"/>
  <c r="P19" i="13"/>
  <c r="L181" i="13"/>
  <c r="O181" i="13" s="1"/>
  <c r="O183" i="13"/>
  <c r="P151" i="13"/>
  <c r="M149" i="13"/>
  <c r="P149" i="13" s="1"/>
  <c r="L277" i="12"/>
  <c r="O277" i="12" s="1"/>
  <c r="O41" i="12"/>
  <c r="N328" i="13"/>
  <c r="O328" i="13" s="1"/>
  <c r="K76" i="13"/>
  <c r="I64" i="13"/>
  <c r="K64" i="13" s="1"/>
  <c r="N9" i="13"/>
  <c r="K77" i="10"/>
  <c r="O330" i="11"/>
  <c r="P167" i="12"/>
  <c r="K77" i="12"/>
  <c r="P404" i="13"/>
  <c r="M402" i="13"/>
  <c r="P402" i="13" s="1"/>
  <c r="M24" i="13"/>
  <c r="I164" i="13"/>
  <c r="K164" i="13" s="1"/>
  <c r="K174" i="13"/>
  <c r="I131" i="13"/>
  <c r="K131" i="13" s="1"/>
  <c r="K143" i="13"/>
  <c r="O184" i="13"/>
  <c r="L149" i="9"/>
  <c r="O149" i="9" s="1"/>
  <c r="P26" i="12"/>
  <c r="P24" i="12"/>
  <c r="O279" i="1"/>
  <c r="O687" i="8"/>
  <c r="M402" i="11"/>
  <c r="P402" i="11" s="1"/>
  <c r="L629" i="12"/>
  <c r="O629" i="12" s="1"/>
  <c r="O165" i="12"/>
  <c r="N20" i="12"/>
  <c r="N18" i="12" s="1"/>
  <c r="P330" i="9"/>
  <c r="L132" i="10"/>
  <c r="O132" i="10" s="1"/>
  <c r="P347" i="11"/>
  <c r="O167" i="12"/>
  <c r="N16" i="12"/>
  <c r="N14" i="12" s="1"/>
  <c r="K143" i="10"/>
  <c r="P348" i="11"/>
  <c r="O263" i="10"/>
  <c r="L30" i="11"/>
  <c r="O30" i="11" s="1"/>
  <c r="O261" i="12"/>
  <c r="O56" i="12"/>
  <c r="L227" i="12"/>
  <c r="O685" i="8"/>
  <c r="M315" i="9"/>
  <c r="P315" i="9" s="1"/>
  <c r="O328" i="10"/>
  <c r="P183" i="11"/>
  <c r="O56" i="11"/>
  <c r="M16" i="11"/>
  <c r="M14" i="11" s="1"/>
  <c r="O347" i="11"/>
  <c r="P43" i="12"/>
  <c r="M41" i="12"/>
  <c r="P41" i="12" s="1"/>
  <c r="O263" i="12"/>
  <c r="O36" i="11"/>
  <c r="P404" i="12"/>
  <c r="M402" i="12"/>
  <c r="P402" i="12" s="1"/>
  <c r="P279" i="12"/>
  <c r="M277" i="12"/>
  <c r="P277" i="12" s="1"/>
  <c r="K248" i="12"/>
  <c r="I226" i="12"/>
  <c r="K226" i="12" s="1"/>
  <c r="O68" i="12"/>
  <c r="L66" i="12"/>
  <c r="O66" i="12" s="1"/>
  <c r="L328" i="12"/>
  <c r="O328" i="12" s="1"/>
  <c r="O330" i="12"/>
  <c r="O43" i="12"/>
  <c r="L53" i="12"/>
  <c r="O53" i="12" s="1"/>
  <c r="O55" i="12"/>
  <c r="M315" i="12"/>
  <c r="P315" i="12" s="1"/>
  <c r="P317" i="12"/>
  <c r="M119" i="12"/>
  <c r="P119" i="12" s="1"/>
  <c r="P121" i="12"/>
  <c r="L467" i="10"/>
  <c r="O467" i="10" s="1"/>
  <c r="O43" i="11"/>
  <c r="K433" i="12"/>
  <c r="N132" i="12"/>
  <c r="O132" i="12" s="1"/>
  <c r="N414" i="12"/>
  <c r="M315" i="7"/>
  <c r="P315" i="7" s="1"/>
  <c r="L402" i="12"/>
  <c r="O402" i="12" s="1"/>
  <c r="M414" i="12"/>
  <c r="P414" i="12" s="1"/>
  <c r="O300" i="12"/>
  <c r="L298" i="12"/>
  <c r="O298" i="12" s="1"/>
  <c r="I131" i="12"/>
  <c r="K131" i="12" s="1"/>
  <c r="K143" i="12"/>
  <c r="L30" i="12"/>
  <c r="L34" i="12"/>
  <c r="O34" i="12" s="1"/>
  <c r="O36" i="12"/>
  <c r="M66" i="12"/>
  <c r="P66" i="12" s="1"/>
  <c r="O55" i="8"/>
  <c r="L389" i="10"/>
  <c r="O389" i="10" s="1"/>
  <c r="L34" i="10"/>
  <c r="O34" i="10" s="1"/>
  <c r="O43" i="10"/>
  <c r="O90" i="12"/>
  <c r="P90" i="12"/>
  <c r="M328" i="12"/>
  <c r="P328" i="12" s="1"/>
  <c r="P330" i="12"/>
  <c r="P19" i="12"/>
  <c r="M298" i="12"/>
  <c r="P298" i="12" s="1"/>
  <c r="L315" i="10"/>
  <c r="O315" i="10" s="1"/>
  <c r="P90" i="10"/>
  <c r="O421" i="12"/>
  <c r="L419" i="12"/>
  <c r="L21" i="12"/>
  <c r="O23" i="12"/>
  <c r="L20" i="12"/>
  <c r="L18" i="12" s="1"/>
  <c r="L13" i="12"/>
  <c r="L11" i="12" s="1"/>
  <c r="O446" i="12"/>
  <c r="L444" i="12"/>
  <c r="O444" i="12" s="1"/>
  <c r="N11" i="12"/>
  <c r="K174" i="12"/>
  <c r="I164" i="12"/>
  <c r="K164" i="12" s="1"/>
  <c r="P134" i="12"/>
  <c r="M132" i="12"/>
  <c r="P53" i="8"/>
  <c r="P183" i="10"/>
  <c r="I543" i="11"/>
  <c r="K543" i="11" s="1"/>
  <c r="L119" i="11"/>
  <c r="O119" i="11" s="1"/>
  <c r="P23" i="12"/>
  <c r="M20" i="12"/>
  <c r="M13" i="12"/>
  <c r="M11" i="12" s="1"/>
  <c r="L119" i="12"/>
  <c r="P12" i="12"/>
  <c r="M9" i="12"/>
  <c r="O19" i="12"/>
  <c r="O26" i="12"/>
  <c r="L16" i="12"/>
  <c r="L24" i="12"/>
  <c r="O24" i="12" s="1"/>
  <c r="N88" i="12"/>
  <c r="P88" i="12" s="1"/>
  <c r="O469" i="6"/>
  <c r="M389" i="9"/>
  <c r="P389" i="9" s="1"/>
  <c r="N24" i="10"/>
  <c r="O345" i="11"/>
  <c r="O328" i="11"/>
  <c r="O348" i="11"/>
  <c r="O546" i="12"/>
  <c r="L544" i="12"/>
  <c r="O544" i="12" s="1"/>
  <c r="P347" i="12"/>
  <c r="M345" i="12"/>
  <c r="P345" i="12" s="1"/>
  <c r="O12" i="12"/>
  <c r="L9" i="12"/>
  <c r="M119" i="10"/>
  <c r="P119" i="10" s="1"/>
  <c r="K248" i="11"/>
  <c r="O151" i="11"/>
  <c r="M66" i="11"/>
  <c r="P66" i="11" s="1"/>
  <c r="O33" i="11"/>
  <c r="P351" i="11"/>
  <c r="P56" i="8"/>
  <c r="P88" i="9"/>
  <c r="L13" i="11"/>
  <c r="L11" i="11" s="1"/>
  <c r="O348" i="8"/>
  <c r="P330" i="10"/>
  <c r="P23" i="10"/>
  <c r="M21" i="10"/>
  <c r="P88" i="11"/>
  <c r="L31" i="11"/>
  <c r="O31" i="11" s="1"/>
  <c r="P345" i="11"/>
  <c r="O183" i="10"/>
  <c r="O348" i="5"/>
  <c r="O300" i="6"/>
  <c r="K559" i="7"/>
  <c r="P90" i="8"/>
  <c r="O330" i="10"/>
  <c r="O167" i="10"/>
  <c r="N41" i="10"/>
  <c r="O41" i="10" s="1"/>
  <c r="L41" i="11"/>
  <c r="O41" i="11" s="1"/>
  <c r="O391" i="11"/>
  <c r="L389" i="11"/>
  <c r="O389" i="11" s="1"/>
  <c r="L315" i="9"/>
  <c r="O315" i="9" s="1"/>
  <c r="N165" i="10"/>
  <c r="P165" i="10" s="1"/>
  <c r="K434" i="11"/>
  <c r="I418" i="11"/>
  <c r="K418" i="11" s="1"/>
  <c r="M298" i="7"/>
  <c r="P298" i="7" s="1"/>
  <c r="I418" i="10"/>
  <c r="K418" i="10" s="1"/>
  <c r="I64" i="10"/>
  <c r="K64" i="10" s="1"/>
  <c r="L149" i="10"/>
  <c r="O149" i="10" s="1"/>
  <c r="L66" i="11"/>
  <c r="O66" i="11" s="1"/>
  <c r="N24" i="11"/>
  <c r="P24" i="11" s="1"/>
  <c r="P151" i="11"/>
  <c r="N10" i="6"/>
  <c r="N8" i="6" s="1"/>
  <c r="P347" i="7"/>
  <c r="L277" i="9"/>
  <c r="O277" i="9" s="1"/>
  <c r="P55" i="10"/>
  <c r="O55" i="10"/>
  <c r="P167" i="11"/>
  <c r="N14" i="11"/>
  <c r="L655" i="11"/>
  <c r="O655" i="11" s="1"/>
  <c r="P263" i="11"/>
  <c r="M261" i="11"/>
  <c r="P261" i="11" s="1"/>
  <c r="N149" i="11"/>
  <c r="O149" i="11" s="1"/>
  <c r="P43" i="11"/>
  <c r="N53" i="11"/>
  <c r="O55" i="11"/>
  <c r="P41" i="11"/>
  <c r="L16" i="11"/>
  <c r="O16" i="11" s="1"/>
  <c r="O26" i="11"/>
  <c r="P165" i="9"/>
  <c r="P43" i="10"/>
  <c r="N414" i="11"/>
  <c r="P391" i="11"/>
  <c r="M389" i="11"/>
  <c r="P389" i="11" s="1"/>
  <c r="M181" i="11"/>
  <c r="P181" i="11" s="1"/>
  <c r="M414" i="11"/>
  <c r="P414" i="11" s="1"/>
  <c r="P56" i="11"/>
  <c r="O15" i="11"/>
  <c r="P331" i="11"/>
  <c r="O331" i="11"/>
  <c r="P26" i="11"/>
  <c r="L315" i="11"/>
  <c r="O315" i="11" s="1"/>
  <c r="I64" i="11"/>
  <c r="K64" i="11" s="1"/>
  <c r="K76" i="11"/>
  <c r="L9" i="11"/>
  <c r="O546" i="11"/>
  <c r="L544" i="11"/>
  <c r="O544" i="11" s="1"/>
  <c r="O421" i="11"/>
  <c r="L419" i="11"/>
  <c r="L402" i="11"/>
  <c r="O402" i="11" s="1"/>
  <c r="O168" i="11"/>
  <c r="M132" i="11"/>
  <c r="P132" i="11" s="1"/>
  <c r="M28" i="11"/>
  <c r="P28" i="11" s="1"/>
  <c r="P55" i="11"/>
  <c r="L88" i="11"/>
  <c r="O88" i="11" s="1"/>
  <c r="O134" i="11"/>
  <c r="L132" i="11"/>
  <c r="O132" i="11" s="1"/>
  <c r="N21" i="11"/>
  <c r="O21" i="11" s="1"/>
  <c r="P279" i="11"/>
  <c r="M277" i="11"/>
  <c r="P277" i="11" s="1"/>
  <c r="K174" i="11"/>
  <c r="I164" i="11"/>
  <c r="K164" i="11" s="1"/>
  <c r="M165" i="11"/>
  <c r="P165" i="11" s="1"/>
  <c r="O788" i="11"/>
  <c r="L786" i="11"/>
  <c r="O786" i="11" s="1"/>
  <c r="O167" i="11"/>
  <c r="L165" i="11"/>
  <c r="O165" i="11" s="1"/>
  <c r="L24" i="11"/>
  <c r="M119" i="11"/>
  <c r="P119" i="11" s="1"/>
  <c r="P121" i="11"/>
  <c r="O469" i="11"/>
  <c r="O631" i="11"/>
  <c r="L629" i="11"/>
  <c r="O629" i="11" s="1"/>
  <c r="P23" i="11"/>
  <c r="M20" i="11"/>
  <c r="M13" i="11"/>
  <c r="P12" i="11"/>
  <c r="M9" i="11"/>
  <c r="K417" i="11"/>
  <c r="N20" i="11"/>
  <c r="N18" i="11" s="1"/>
  <c r="N13" i="11"/>
  <c r="N9" i="11"/>
  <c r="O331" i="8"/>
  <c r="O446" i="11"/>
  <c r="L444" i="11"/>
  <c r="O444" i="11" s="1"/>
  <c r="P300" i="11"/>
  <c r="M298" i="11"/>
  <c r="P298" i="11" s="1"/>
  <c r="O183" i="11"/>
  <c r="L181" i="11"/>
  <c r="O181" i="11" s="1"/>
  <c r="O29" i="11"/>
  <c r="M315" i="11"/>
  <c r="P315" i="11" s="1"/>
  <c r="P317" i="11"/>
  <c r="O238" i="11"/>
  <c r="L227" i="11"/>
  <c r="P19" i="11"/>
  <c r="K433" i="11"/>
  <c r="I131" i="11"/>
  <c r="K131" i="11" s="1"/>
  <c r="K143" i="11"/>
  <c r="L20" i="11"/>
  <c r="I65" i="11"/>
  <c r="K65" i="11" s="1"/>
  <c r="K77" i="11"/>
  <c r="O53" i="8"/>
  <c r="P43" i="7"/>
  <c r="L30" i="9"/>
  <c r="O30" i="9" s="1"/>
  <c r="P183" i="8"/>
  <c r="M149" i="10"/>
  <c r="P149" i="10" s="1"/>
  <c r="O181" i="10"/>
  <c r="L132" i="7"/>
  <c r="O132" i="7" s="1"/>
  <c r="O55" i="7"/>
  <c r="L389" i="9"/>
  <c r="O389" i="9" s="1"/>
  <c r="O330" i="9"/>
  <c r="P44" i="9"/>
  <c r="P404" i="9"/>
  <c r="M402" i="9"/>
  <c r="P402" i="9" s="1"/>
  <c r="O345" i="9"/>
  <c r="M53" i="10"/>
  <c r="P53" i="10" s="1"/>
  <c r="P181" i="10"/>
  <c r="P330" i="6"/>
  <c r="K434" i="7"/>
  <c r="O347" i="8"/>
  <c r="M328" i="9"/>
  <c r="P328" i="9" s="1"/>
  <c r="L523" i="9"/>
  <c r="O523" i="9" s="1"/>
  <c r="L132" i="9"/>
  <c r="O132" i="9" s="1"/>
  <c r="L298" i="9"/>
  <c r="O298" i="9" s="1"/>
  <c r="M277" i="9"/>
  <c r="P277" i="9" s="1"/>
  <c r="P348" i="7"/>
  <c r="M41" i="7"/>
  <c r="P41" i="7" s="1"/>
  <c r="N88" i="10"/>
  <c r="P88" i="10" s="1"/>
  <c r="P263" i="10"/>
  <c r="M261" i="10"/>
  <c r="P261" i="10" s="1"/>
  <c r="P167" i="9"/>
  <c r="L444" i="10"/>
  <c r="O444" i="10" s="1"/>
  <c r="L165" i="10"/>
  <c r="L31" i="10"/>
  <c r="O31" i="10" s="1"/>
  <c r="L30" i="10"/>
  <c r="O30" i="10" s="1"/>
  <c r="O33" i="10"/>
  <c r="L655" i="10"/>
  <c r="O655" i="10" s="1"/>
  <c r="P151" i="1"/>
  <c r="P167" i="7"/>
  <c r="O36" i="7"/>
  <c r="M13" i="8"/>
  <c r="M11" i="8" s="1"/>
  <c r="M402" i="8"/>
  <c r="P402" i="8" s="1"/>
  <c r="L165" i="8"/>
  <c r="O165" i="8" s="1"/>
  <c r="O23" i="8"/>
  <c r="O328" i="8"/>
  <c r="L685" i="9"/>
  <c r="O685" i="9" s="1"/>
  <c r="O36" i="9"/>
  <c r="L41" i="9"/>
  <c r="O41" i="9" s="1"/>
  <c r="O261" i="10"/>
  <c r="P167" i="6"/>
  <c r="P330" i="8"/>
  <c r="M66" i="9"/>
  <c r="P66" i="9" s="1"/>
  <c r="L16" i="9"/>
  <c r="L14" i="9" s="1"/>
  <c r="L655" i="9"/>
  <c r="O655" i="9" s="1"/>
  <c r="P347" i="9"/>
  <c r="L66" i="9"/>
  <c r="O66" i="9" s="1"/>
  <c r="O347" i="9"/>
  <c r="O351" i="9"/>
  <c r="O421" i="10"/>
  <c r="L419" i="10"/>
  <c r="P351" i="10"/>
  <c r="N414" i="10"/>
  <c r="L298" i="10"/>
  <c r="O298" i="10" s="1"/>
  <c r="M298" i="10"/>
  <c r="P298" i="10" s="1"/>
  <c r="I164" i="10"/>
  <c r="K164" i="10" s="1"/>
  <c r="K174" i="10"/>
  <c r="P12" i="10"/>
  <c r="M9" i="10"/>
  <c r="M11" i="10"/>
  <c r="O90" i="10"/>
  <c r="L88" i="10"/>
  <c r="M277" i="10"/>
  <c r="P277" i="10" s="1"/>
  <c r="L227" i="10"/>
  <c r="P331" i="7"/>
  <c r="O167" i="6"/>
  <c r="O43" i="8"/>
  <c r="P55" i="8"/>
  <c r="O330" i="8"/>
  <c r="K654" i="8"/>
  <c r="L13" i="8"/>
  <c r="L11" i="8" s="1"/>
  <c r="L34" i="8"/>
  <c r="O34" i="8" s="1"/>
  <c r="O55" i="9"/>
  <c r="L31" i="9"/>
  <c r="O31" i="9" s="1"/>
  <c r="O631" i="10"/>
  <c r="L629" i="10"/>
  <c r="O629" i="10" s="1"/>
  <c r="O279" i="10"/>
  <c r="L277" i="10"/>
  <c r="O277" i="10" s="1"/>
  <c r="O29" i="10"/>
  <c r="M41" i="10"/>
  <c r="P328" i="8"/>
  <c r="P90" i="9"/>
  <c r="O347" i="10"/>
  <c r="N345" i="10"/>
  <c r="P345" i="10" s="1"/>
  <c r="M24" i="10"/>
  <c r="M16" i="10"/>
  <c r="P16" i="10" s="1"/>
  <c r="P26" i="10"/>
  <c r="L16" i="10"/>
  <c r="O16" i="10" s="1"/>
  <c r="O26" i="10"/>
  <c r="P317" i="10"/>
  <c r="M315" i="10"/>
  <c r="P315" i="10" s="1"/>
  <c r="O121" i="10"/>
  <c r="L119" i="10"/>
  <c r="O119" i="10" s="1"/>
  <c r="M328" i="10"/>
  <c r="P328" i="10" s="1"/>
  <c r="L24" i="10"/>
  <c r="P15" i="10"/>
  <c r="M20" i="10"/>
  <c r="I226" i="10"/>
  <c r="K226" i="10" s="1"/>
  <c r="K248" i="10"/>
  <c r="M544" i="10"/>
  <c r="P544" i="10" s="1"/>
  <c r="P545" i="10"/>
  <c r="P348" i="10"/>
  <c r="M414" i="10"/>
  <c r="P414" i="10" s="1"/>
  <c r="P419" i="10"/>
  <c r="N20" i="10"/>
  <c r="N18" i="10" s="1"/>
  <c r="N13" i="10"/>
  <c r="N10" i="10" s="1"/>
  <c r="N21" i="10"/>
  <c r="L402" i="10"/>
  <c r="O402" i="10" s="1"/>
  <c r="L523" i="10"/>
  <c r="O523" i="10" s="1"/>
  <c r="O525" i="10"/>
  <c r="P404" i="10"/>
  <c r="M402" i="10"/>
  <c r="P402" i="10" s="1"/>
  <c r="N9" i="10"/>
  <c r="O23" i="10"/>
  <c r="L20" i="10"/>
  <c r="L13" i="10"/>
  <c r="M66" i="10"/>
  <c r="P66" i="10" s="1"/>
  <c r="P391" i="10"/>
  <c r="M389" i="10"/>
  <c r="P389" i="10" s="1"/>
  <c r="O546" i="10"/>
  <c r="L544" i="10"/>
  <c r="O544" i="10" s="1"/>
  <c r="O15" i="10"/>
  <c r="L9" i="10"/>
  <c r="P29" i="10"/>
  <c r="M28" i="10"/>
  <c r="P28" i="10" s="1"/>
  <c r="K433" i="10"/>
  <c r="I417" i="10"/>
  <c r="K417" i="10" s="1"/>
  <c r="M389" i="5"/>
  <c r="P389" i="5" s="1"/>
  <c r="K364" i="7"/>
  <c r="O41" i="7"/>
  <c r="M165" i="8"/>
  <c r="P165" i="8" s="1"/>
  <c r="M20" i="8"/>
  <c r="M18" i="8" s="1"/>
  <c r="O279" i="8"/>
  <c r="I418" i="9"/>
  <c r="K418" i="9" s="1"/>
  <c r="N21" i="9"/>
  <c r="P16" i="9"/>
  <c r="P151" i="9"/>
  <c r="L389" i="8"/>
  <c r="O389" i="8" s="1"/>
  <c r="O546" i="9"/>
  <c r="L402" i="9"/>
  <c r="O402" i="9" s="1"/>
  <c r="L21" i="8"/>
  <c r="I131" i="9"/>
  <c r="K131" i="9" s="1"/>
  <c r="K143" i="9"/>
  <c r="K417" i="9"/>
  <c r="O300" i="8"/>
  <c r="L119" i="8"/>
  <c r="O119" i="8" s="1"/>
  <c r="L66" i="8"/>
  <c r="O66" i="8" s="1"/>
  <c r="O263" i="8"/>
  <c r="L30" i="8"/>
  <c r="O30" i="8" s="1"/>
  <c r="O33" i="9"/>
  <c r="M24" i="9"/>
  <c r="K433" i="9"/>
  <c r="L261" i="9"/>
  <c r="O261" i="9" s="1"/>
  <c r="O263" i="9"/>
  <c r="P300" i="9"/>
  <c r="M298" i="9"/>
  <c r="P298" i="9" s="1"/>
  <c r="K237" i="9"/>
  <c r="I226" i="9"/>
  <c r="K226" i="9" s="1"/>
  <c r="O12" i="9"/>
  <c r="L9" i="9"/>
  <c r="P12" i="9"/>
  <c r="M9" i="9"/>
  <c r="M119" i="9"/>
  <c r="P119" i="9" s="1"/>
  <c r="P121" i="9"/>
  <c r="L119" i="9"/>
  <c r="O119" i="9" s="1"/>
  <c r="O121" i="9"/>
  <c r="O347" i="6"/>
  <c r="P91" i="8"/>
  <c r="L16" i="8"/>
  <c r="O16" i="8" s="1"/>
  <c r="L328" i="9"/>
  <c r="O328" i="9" s="1"/>
  <c r="N414" i="9"/>
  <c r="L227" i="9"/>
  <c r="O238" i="9"/>
  <c r="O19" i="9"/>
  <c r="O90" i="9"/>
  <c r="L88" i="9"/>
  <c r="O88" i="9" s="1"/>
  <c r="M53" i="9"/>
  <c r="P53" i="9" s="1"/>
  <c r="P55" i="9"/>
  <c r="N10" i="9"/>
  <c r="O26" i="9"/>
  <c r="O631" i="9"/>
  <c r="L629" i="9"/>
  <c r="O629" i="9" s="1"/>
  <c r="K174" i="9"/>
  <c r="I164" i="9"/>
  <c r="K164" i="9" s="1"/>
  <c r="K77" i="9"/>
  <c r="I65" i="9"/>
  <c r="K65" i="9" s="1"/>
  <c r="P183" i="9"/>
  <c r="M181" i="9"/>
  <c r="P181" i="9" s="1"/>
  <c r="L181" i="9"/>
  <c r="O181" i="9" s="1"/>
  <c r="O183" i="9"/>
  <c r="N14" i="9"/>
  <c r="P14" i="9" s="1"/>
  <c r="N20" i="9"/>
  <c r="N18" i="9" s="1"/>
  <c r="O301" i="4"/>
  <c r="L227" i="8"/>
  <c r="M24" i="8"/>
  <c r="L444" i="9"/>
  <c r="O444" i="9" s="1"/>
  <c r="M414" i="9"/>
  <c r="P414" i="9" s="1"/>
  <c r="O167" i="9"/>
  <c r="L165" i="9"/>
  <c r="O165" i="9" s="1"/>
  <c r="N11" i="9"/>
  <c r="N9" i="9"/>
  <c r="N37" i="9"/>
  <c r="P26" i="9"/>
  <c r="O53" i="9"/>
  <c r="M261" i="8"/>
  <c r="P261" i="8" s="1"/>
  <c r="O469" i="9"/>
  <c r="L467" i="9"/>
  <c r="O467" i="9" s="1"/>
  <c r="N24" i="9"/>
  <c r="P134" i="9"/>
  <c r="M132" i="9"/>
  <c r="P132" i="9" s="1"/>
  <c r="L20" i="8"/>
  <c r="L18" i="8" s="1"/>
  <c r="O421" i="9"/>
  <c r="L419" i="9"/>
  <c r="P23" i="9"/>
  <c r="M20" i="9"/>
  <c r="M13" i="9"/>
  <c r="M11" i="9" s="1"/>
  <c r="M21" i="9"/>
  <c r="I64" i="9"/>
  <c r="K64" i="9" s="1"/>
  <c r="K76" i="9"/>
  <c r="P43" i="9"/>
  <c r="M41" i="9"/>
  <c r="L21" i="9"/>
  <c r="O23" i="9"/>
  <c r="L20" i="9"/>
  <c r="L18" i="9" s="1"/>
  <c r="L13" i="9"/>
  <c r="I65" i="4"/>
  <c r="K65" i="4" s="1"/>
  <c r="P330" i="7"/>
  <c r="L132" i="8"/>
  <c r="O132" i="8" s="1"/>
  <c r="M165" i="6"/>
  <c r="P165" i="6" s="1"/>
  <c r="L389" i="7"/>
  <c r="O389" i="7" s="1"/>
  <c r="M132" i="6"/>
  <c r="P132" i="6" s="1"/>
  <c r="J364" i="8"/>
  <c r="K364" i="8" s="1"/>
  <c r="L31" i="8"/>
  <c r="O31" i="8" s="1"/>
  <c r="O687" i="7"/>
  <c r="M389" i="7"/>
  <c r="P389" i="7" s="1"/>
  <c r="P279" i="7"/>
  <c r="P23" i="8"/>
  <c r="K77" i="6"/>
  <c r="N277" i="8"/>
  <c r="P277" i="8" s="1"/>
  <c r="L389" i="6"/>
  <c r="O389" i="6" s="1"/>
  <c r="P279" i="8"/>
  <c r="L149" i="5"/>
  <c r="O149" i="5" s="1"/>
  <c r="M389" i="8"/>
  <c r="P389" i="8" s="1"/>
  <c r="O26" i="8"/>
  <c r="P347" i="8"/>
  <c r="P279" i="4"/>
  <c r="M328" i="7"/>
  <c r="P331" i="8"/>
  <c r="L261" i="8"/>
  <c r="O261" i="8" s="1"/>
  <c r="L786" i="8"/>
  <c r="O786" i="8" s="1"/>
  <c r="O788" i="8"/>
  <c r="P44" i="8"/>
  <c r="P149" i="4"/>
  <c r="L467" i="8"/>
  <c r="O467" i="8" s="1"/>
  <c r="L149" i="8"/>
  <c r="O149" i="8" s="1"/>
  <c r="N345" i="8"/>
  <c r="O345" i="8" s="1"/>
  <c r="I164" i="8"/>
  <c r="K164" i="8" s="1"/>
  <c r="P68" i="8"/>
  <c r="L315" i="6"/>
  <c r="O315" i="6" s="1"/>
  <c r="N24" i="8"/>
  <c r="O544" i="8"/>
  <c r="P330" i="3"/>
  <c r="I418" i="6"/>
  <c r="K418" i="6" s="1"/>
  <c r="O261" i="6"/>
  <c r="O168" i="7"/>
  <c r="O347" i="7"/>
  <c r="K433" i="8"/>
  <c r="I417" i="8"/>
  <c r="K417" i="8" s="1"/>
  <c r="O657" i="8"/>
  <c r="L655" i="8"/>
  <c r="O655" i="8" s="1"/>
  <c r="O404" i="8"/>
  <c r="L402" i="8"/>
  <c r="O402" i="8" s="1"/>
  <c r="P300" i="8"/>
  <c r="N298" i="8"/>
  <c r="P298" i="8" s="1"/>
  <c r="O183" i="8"/>
  <c r="L181" i="8"/>
  <c r="O181" i="8" s="1"/>
  <c r="N21" i="8"/>
  <c r="P21" i="8" s="1"/>
  <c r="I64" i="8"/>
  <c r="K64" i="8" s="1"/>
  <c r="K76" i="8"/>
  <c r="I65" i="8"/>
  <c r="K65" i="8" s="1"/>
  <c r="K77" i="8"/>
  <c r="L41" i="8"/>
  <c r="P41" i="5"/>
  <c r="O55" i="6"/>
  <c r="O631" i="8"/>
  <c r="L629" i="8"/>
  <c r="O629" i="8" s="1"/>
  <c r="J275" i="8"/>
  <c r="K275" i="8" s="1"/>
  <c r="K288" i="8"/>
  <c r="P348" i="8"/>
  <c r="P19" i="8"/>
  <c r="N13" i="8"/>
  <c r="N20" i="8"/>
  <c r="O151" i="4"/>
  <c r="P181" i="7"/>
  <c r="O19" i="8"/>
  <c r="I131" i="8"/>
  <c r="K131" i="8" s="1"/>
  <c r="K143" i="8"/>
  <c r="O90" i="8"/>
  <c r="N88" i="8"/>
  <c r="O88" i="8" s="1"/>
  <c r="P351" i="8"/>
  <c r="P151" i="4"/>
  <c r="M277" i="6"/>
  <c r="P277" i="6" s="1"/>
  <c r="O446" i="8"/>
  <c r="L444" i="8"/>
  <c r="O444" i="8" s="1"/>
  <c r="O301" i="8"/>
  <c r="M41" i="8"/>
  <c r="P43" i="8"/>
  <c r="K559" i="8"/>
  <c r="I543" i="8"/>
  <c r="K543" i="8" s="1"/>
  <c r="K434" i="8"/>
  <c r="I418" i="8"/>
  <c r="K418" i="8" s="1"/>
  <c r="P184" i="8"/>
  <c r="P181" i="8"/>
  <c r="P88" i="5"/>
  <c r="O421" i="8"/>
  <c r="L419" i="8"/>
  <c r="M544" i="8"/>
  <c r="P544" i="8" s="1"/>
  <c r="P545" i="8"/>
  <c r="O546" i="8"/>
  <c r="M132" i="8"/>
  <c r="P132" i="8" s="1"/>
  <c r="P134" i="8"/>
  <c r="L523" i="8"/>
  <c r="O523" i="8" s="1"/>
  <c r="O525" i="8"/>
  <c r="O317" i="8"/>
  <c r="L315" i="8"/>
  <c r="O315" i="8" s="1"/>
  <c r="P26" i="8"/>
  <c r="M16" i="8"/>
  <c r="P9" i="8"/>
  <c r="P263" i="7"/>
  <c r="M261" i="7"/>
  <c r="P261" i="7" s="1"/>
  <c r="L14" i="8"/>
  <c r="O14" i="8" s="1"/>
  <c r="P149" i="6"/>
  <c r="P419" i="8"/>
  <c r="M414" i="8"/>
  <c r="P414" i="8" s="1"/>
  <c r="P121" i="8"/>
  <c r="M119" i="8"/>
  <c r="P119" i="8" s="1"/>
  <c r="L34" i="5"/>
  <c r="O34" i="5" s="1"/>
  <c r="P90" i="6"/>
  <c r="O88" i="6"/>
  <c r="L20" i="6"/>
  <c r="L18" i="6" s="1"/>
  <c r="P16" i="6"/>
  <c r="O151" i="6"/>
  <c r="P55" i="6"/>
  <c r="P151" i="6"/>
  <c r="P88" i="6"/>
  <c r="K433" i="7"/>
  <c r="N165" i="7"/>
  <c r="O165" i="7" s="1"/>
  <c r="M66" i="7"/>
  <c r="P66" i="7" s="1"/>
  <c r="L467" i="7"/>
  <c r="O467" i="7" s="1"/>
  <c r="L655" i="7"/>
  <c r="O655" i="7" s="1"/>
  <c r="O330" i="6"/>
  <c r="P183" i="7"/>
  <c r="L227" i="1"/>
  <c r="O469" i="4"/>
  <c r="O317" i="5"/>
  <c r="P331" i="6"/>
  <c r="K559" i="6"/>
  <c r="L165" i="6"/>
  <c r="O165" i="6" s="1"/>
  <c r="L53" i="6"/>
  <c r="O53" i="6" s="1"/>
  <c r="L402" i="7"/>
  <c r="O402" i="7" s="1"/>
  <c r="P44" i="7"/>
  <c r="O119" i="1"/>
  <c r="O688" i="4"/>
  <c r="O300" i="5"/>
  <c r="O687" i="6"/>
  <c r="P279" i="5"/>
  <c r="O90" i="6"/>
  <c r="O263" i="6"/>
  <c r="M132" i="7"/>
  <c r="P132" i="7" s="1"/>
  <c r="K434" i="4"/>
  <c r="L165" i="5"/>
  <c r="O165" i="5" s="1"/>
  <c r="N24" i="6"/>
  <c r="O24" i="6" s="1"/>
  <c r="L315" i="7"/>
  <c r="O315" i="7" s="1"/>
  <c r="O300" i="7"/>
  <c r="L298" i="7"/>
  <c r="O298" i="7" s="1"/>
  <c r="P41" i="6"/>
  <c r="L66" i="7"/>
  <c r="O66" i="7" s="1"/>
  <c r="N24" i="7"/>
  <c r="O24" i="7" s="1"/>
  <c r="O167" i="7"/>
  <c r="K143" i="7"/>
  <c r="I131" i="7"/>
  <c r="K131" i="7" s="1"/>
  <c r="O43" i="7"/>
  <c r="I543" i="4"/>
  <c r="K543" i="4" s="1"/>
  <c r="P300" i="5"/>
  <c r="P351" i="6"/>
  <c r="P43" i="6"/>
  <c r="N14" i="7"/>
  <c r="P404" i="7"/>
  <c r="M402" i="7"/>
  <c r="P402" i="7" s="1"/>
  <c r="O151" i="7"/>
  <c r="L149" i="7"/>
  <c r="O149" i="7" s="1"/>
  <c r="P183" i="4"/>
  <c r="L523" i="5"/>
  <c r="O523" i="5" s="1"/>
  <c r="P184" i="5"/>
  <c r="O23" i="6"/>
  <c r="O470" i="7"/>
  <c r="O631" i="7"/>
  <c r="L629" i="7"/>
  <c r="O629" i="7" s="1"/>
  <c r="L277" i="7"/>
  <c r="O277" i="7" s="1"/>
  <c r="O33" i="7"/>
  <c r="L30" i="7"/>
  <c r="O30" i="7" s="1"/>
  <c r="O91" i="7"/>
  <c r="O263" i="7"/>
  <c r="L261" i="7"/>
  <c r="O261" i="7" s="1"/>
  <c r="N328" i="7"/>
  <c r="O328" i="7" s="1"/>
  <c r="O330" i="7"/>
  <c r="N53" i="7"/>
  <c r="P53" i="7" s="1"/>
  <c r="K364" i="3"/>
  <c r="L419" i="4"/>
  <c r="O419" i="4" s="1"/>
  <c r="P347" i="4"/>
  <c r="P91" i="6"/>
  <c r="O152" i="6"/>
  <c r="O331" i="6"/>
  <c r="O546" i="7"/>
  <c r="L544" i="7"/>
  <c r="O544" i="7" s="1"/>
  <c r="L181" i="7"/>
  <c r="O181" i="7" s="1"/>
  <c r="O183" i="7"/>
  <c r="P151" i="7"/>
  <c r="M149" i="7"/>
  <c r="P149" i="7" s="1"/>
  <c r="P29" i="7"/>
  <c r="M28" i="7"/>
  <c r="P28" i="7" s="1"/>
  <c r="M345" i="7"/>
  <c r="P345" i="7" s="1"/>
  <c r="O23" i="7"/>
  <c r="L20" i="7"/>
  <c r="L13" i="7"/>
  <c r="L21" i="7"/>
  <c r="O345" i="7"/>
  <c r="P23" i="7"/>
  <c r="M20" i="7"/>
  <c r="M13" i="7"/>
  <c r="P56" i="7"/>
  <c r="L523" i="7"/>
  <c r="O523" i="7" s="1"/>
  <c r="O525" i="7"/>
  <c r="I65" i="7"/>
  <c r="K65" i="7" s="1"/>
  <c r="K77" i="7"/>
  <c r="N9" i="7"/>
  <c r="O421" i="7"/>
  <c r="L419" i="7"/>
  <c r="N20" i="7"/>
  <c r="N18" i="7" s="1"/>
  <c r="N13" i="7"/>
  <c r="N21" i="7"/>
  <c r="P21" i="7" s="1"/>
  <c r="M414" i="7"/>
  <c r="P414" i="7" s="1"/>
  <c r="P419" i="7"/>
  <c r="O15" i="7"/>
  <c r="L227" i="7"/>
  <c r="O238" i="7"/>
  <c r="O446" i="7"/>
  <c r="L444" i="7"/>
  <c r="O444" i="7" s="1"/>
  <c r="P15" i="7"/>
  <c r="K174" i="7"/>
  <c r="I164" i="7"/>
  <c r="K164" i="7" s="1"/>
  <c r="P90" i="7"/>
  <c r="M88" i="7"/>
  <c r="P88" i="7" s="1"/>
  <c r="P55" i="7"/>
  <c r="I64" i="7"/>
  <c r="K64" i="7" s="1"/>
  <c r="K76" i="7"/>
  <c r="P9" i="7"/>
  <c r="L9" i="7"/>
  <c r="P26" i="7"/>
  <c r="M16" i="7"/>
  <c r="P16" i="7" s="1"/>
  <c r="M24" i="7"/>
  <c r="O44" i="7"/>
  <c r="L88" i="7"/>
  <c r="O88" i="7" s="1"/>
  <c r="O90" i="7"/>
  <c r="P184" i="7"/>
  <c r="N414" i="7"/>
  <c r="O29" i="7"/>
  <c r="L16" i="7"/>
  <c r="O16" i="7" s="1"/>
  <c r="O26" i="7"/>
  <c r="P121" i="7"/>
  <c r="M119" i="7"/>
  <c r="P119" i="7" s="1"/>
  <c r="P121" i="6"/>
  <c r="M119" i="6"/>
  <c r="P119" i="6" s="1"/>
  <c r="P347" i="3"/>
  <c r="L685" i="3"/>
  <c r="O685" i="3" s="1"/>
  <c r="L298" i="5"/>
  <c r="O298" i="5" s="1"/>
  <c r="L402" i="5"/>
  <c r="O402" i="5" s="1"/>
  <c r="P183" i="5"/>
  <c r="O43" i="6"/>
  <c r="O41" i="6"/>
  <c r="M261" i="6"/>
  <c r="P261" i="6" s="1"/>
  <c r="O181" i="6"/>
  <c r="L34" i="6"/>
  <c r="O34" i="6" s="1"/>
  <c r="P53" i="6"/>
  <c r="L119" i="5"/>
  <c r="O119" i="5" s="1"/>
  <c r="L389" i="5"/>
  <c r="O389" i="5" s="1"/>
  <c r="P90" i="5"/>
  <c r="P59" i="6"/>
  <c r="L277" i="3"/>
  <c r="O277" i="3" s="1"/>
  <c r="O328" i="6"/>
  <c r="P26" i="6"/>
  <c r="M24" i="6"/>
  <c r="P24" i="6" s="1"/>
  <c r="O687" i="5"/>
  <c r="O90" i="5"/>
  <c r="N11" i="6"/>
  <c r="L655" i="6"/>
  <c r="O655" i="6" s="1"/>
  <c r="L149" i="6"/>
  <c r="O149" i="6" s="1"/>
  <c r="P68" i="6"/>
  <c r="M66" i="6"/>
  <c r="P66" i="6" s="1"/>
  <c r="N20" i="6"/>
  <c r="N18" i="6" s="1"/>
  <c r="N21" i="6"/>
  <c r="O21" i="6" s="1"/>
  <c r="L119" i="4"/>
  <c r="O119" i="4" s="1"/>
  <c r="M24" i="5"/>
  <c r="P26" i="5"/>
  <c r="K433" i="6"/>
  <c r="O546" i="6"/>
  <c r="L544" i="6"/>
  <c r="O544" i="6" s="1"/>
  <c r="L88" i="5"/>
  <c r="O88" i="5" s="1"/>
  <c r="M261" i="5"/>
  <c r="P261" i="5" s="1"/>
  <c r="O55" i="5"/>
  <c r="O91" i="5"/>
  <c r="O183" i="6"/>
  <c r="L315" i="5"/>
  <c r="O315" i="5" s="1"/>
  <c r="P55" i="5"/>
  <c r="P181" i="6"/>
  <c r="M328" i="6"/>
  <c r="P328" i="6" s="1"/>
  <c r="L119" i="6"/>
  <c r="O119" i="6" s="1"/>
  <c r="K559" i="5"/>
  <c r="O43" i="4"/>
  <c r="O183" i="5"/>
  <c r="P183" i="6"/>
  <c r="O9" i="6"/>
  <c r="K364" i="4"/>
  <c r="P404" i="6"/>
  <c r="M402" i="6"/>
  <c r="P402" i="6" s="1"/>
  <c r="I131" i="6"/>
  <c r="K131" i="6" s="1"/>
  <c r="K143" i="6"/>
  <c r="O421" i="6"/>
  <c r="L419" i="6"/>
  <c r="P300" i="6"/>
  <c r="P347" i="6"/>
  <c r="N298" i="6"/>
  <c r="P298" i="6" s="1"/>
  <c r="M28" i="6"/>
  <c r="P28" i="6" s="1"/>
  <c r="P23" i="6"/>
  <c r="M20" i="6"/>
  <c r="M13" i="6"/>
  <c r="M11" i="6" s="1"/>
  <c r="P43" i="4"/>
  <c r="P391" i="6"/>
  <c r="M389" i="6"/>
  <c r="P389" i="6" s="1"/>
  <c r="N414" i="6"/>
  <c r="P301" i="6"/>
  <c r="K417" i="6"/>
  <c r="L16" i="6"/>
  <c r="O16" i="6" s="1"/>
  <c r="O26" i="6"/>
  <c r="L402" i="6"/>
  <c r="O402" i="6" s="1"/>
  <c r="P317" i="6"/>
  <c r="M315" i="6"/>
  <c r="P315" i="6" s="1"/>
  <c r="O631" i="6"/>
  <c r="L629" i="6"/>
  <c r="O629" i="6" s="1"/>
  <c r="O446" i="6"/>
  <c r="L444" i="6"/>
  <c r="O444" i="6" s="1"/>
  <c r="O249" i="6"/>
  <c r="L227" i="6"/>
  <c r="P19" i="6"/>
  <c r="M414" i="6"/>
  <c r="P414" i="6" s="1"/>
  <c r="P419" i="6"/>
  <c r="L66" i="6"/>
  <c r="O66" i="6" s="1"/>
  <c r="O68" i="6"/>
  <c r="O29" i="6"/>
  <c r="O15" i="6"/>
  <c r="L655" i="5"/>
  <c r="O655" i="5" s="1"/>
  <c r="O263" i="5"/>
  <c r="M14" i="6"/>
  <c r="P14" i="6" s="1"/>
  <c r="K237" i="6"/>
  <c r="I226" i="6"/>
  <c r="K226" i="6" s="1"/>
  <c r="L181" i="5"/>
  <c r="O181" i="5" s="1"/>
  <c r="P12" i="6"/>
  <c r="M9" i="6"/>
  <c r="N345" i="6"/>
  <c r="P345" i="6" s="1"/>
  <c r="O33" i="6"/>
  <c r="L30" i="6"/>
  <c r="O30" i="6" s="1"/>
  <c r="L13" i="6"/>
  <c r="O525" i="6"/>
  <c r="L523" i="6"/>
  <c r="O523" i="6" s="1"/>
  <c r="O279" i="6"/>
  <c r="L277" i="6"/>
  <c r="O277" i="6" s="1"/>
  <c r="I64" i="6"/>
  <c r="K64" i="6" s="1"/>
  <c r="K76" i="6"/>
  <c r="O317" i="2"/>
  <c r="L389" i="3"/>
  <c r="O389" i="3" s="1"/>
  <c r="L523" i="4"/>
  <c r="O523" i="4" s="1"/>
  <c r="M41" i="4"/>
  <c r="P41" i="4" s="1"/>
  <c r="O55" i="4"/>
  <c r="K275" i="4"/>
  <c r="M149" i="5"/>
  <c r="P149" i="5" s="1"/>
  <c r="P277" i="5"/>
  <c r="L402" i="4"/>
  <c r="O402" i="4" s="1"/>
  <c r="O657" i="4"/>
  <c r="O347" i="4"/>
  <c r="O134" i="5"/>
  <c r="K364" i="1"/>
  <c r="L629" i="3"/>
  <c r="O629" i="3" s="1"/>
  <c r="M389" i="3"/>
  <c r="P389" i="3" s="1"/>
  <c r="O544" i="4"/>
  <c r="P298" i="5"/>
  <c r="N261" i="5"/>
  <c r="O261" i="5" s="1"/>
  <c r="K364" i="5"/>
  <c r="K537" i="5"/>
  <c r="J522" i="5"/>
  <c r="K522" i="5" s="1"/>
  <c r="P167" i="5"/>
  <c r="M165" i="5"/>
  <c r="P165" i="5" s="1"/>
  <c r="K288" i="2"/>
  <c r="L523" i="2"/>
  <c r="O523" i="2" s="1"/>
  <c r="L389" i="2"/>
  <c r="O389" i="2" s="1"/>
  <c r="P301" i="4"/>
  <c r="O298" i="4"/>
  <c r="P348" i="4"/>
  <c r="P404" i="5"/>
  <c r="M402" i="5"/>
  <c r="P402" i="5" s="1"/>
  <c r="P43" i="5"/>
  <c r="P279" i="1"/>
  <c r="P351" i="5"/>
  <c r="O43" i="5"/>
  <c r="L41" i="5"/>
  <c r="O41" i="5" s="1"/>
  <c r="M181" i="5"/>
  <c r="P181" i="5" s="1"/>
  <c r="N24" i="5"/>
  <c r="M132" i="5"/>
  <c r="P132" i="5" s="1"/>
  <c r="P134" i="5"/>
  <c r="J275" i="5"/>
  <c r="K275" i="5" s="1"/>
  <c r="L66" i="3"/>
  <c r="O66" i="3" s="1"/>
  <c r="P68" i="5"/>
  <c r="M66" i="5"/>
  <c r="P66" i="5" s="1"/>
  <c r="O68" i="5"/>
  <c r="L66" i="5"/>
  <c r="O66" i="5" s="1"/>
  <c r="K77" i="5"/>
  <c r="I65" i="5"/>
  <c r="K65" i="5" s="1"/>
  <c r="P300" i="2"/>
  <c r="M315" i="4"/>
  <c r="P315" i="4" s="1"/>
  <c r="P348" i="5"/>
  <c r="M28" i="5"/>
  <c r="P28" i="5" s="1"/>
  <c r="P29" i="5"/>
  <c r="M315" i="5"/>
  <c r="P315" i="5" s="1"/>
  <c r="P317" i="5"/>
  <c r="P19" i="5"/>
  <c r="O334" i="5"/>
  <c r="O546" i="5"/>
  <c r="L544" i="5"/>
  <c r="O544" i="5" s="1"/>
  <c r="P331" i="5"/>
  <c r="O279" i="5"/>
  <c r="L277" i="5"/>
  <c r="O277" i="5" s="1"/>
  <c r="O631" i="5"/>
  <c r="L629" i="5"/>
  <c r="O629" i="5" s="1"/>
  <c r="O421" i="5"/>
  <c r="L419" i="5"/>
  <c r="O26" i="5"/>
  <c r="L16" i="5"/>
  <c r="L24" i="5"/>
  <c r="O29" i="5"/>
  <c r="L31" i="5"/>
  <c r="O31" i="5" s="1"/>
  <c r="O33" i="5"/>
  <c r="L30" i="5"/>
  <c r="O30" i="5" s="1"/>
  <c r="I64" i="5"/>
  <c r="K64" i="5" s="1"/>
  <c r="K76" i="5"/>
  <c r="K364" i="2"/>
  <c r="P279" i="3"/>
  <c r="N345" i="4"/>
  <c r="P345" i="4" s="1"/>
  <c r="P300" i="4"/>
  <c r="O469" i="5"/>
  <c r="N467" i="5"/>
  <c r="K237" i="5"/>
  <c r="I226" i="5"/>
  <c r="K226" i="5" s="1"/>
  <c r="O330" i="5"/>
  <c r="P330" i="5"/>
  <c r="N328" i="5"/>
  <c r="M20" i="5"/>
  <c r="M13" i="5"/>
  <c r="M11" i="5" s="1"/>
  <c r="M21" i="5"/>
  <c r="P21" i="5" s="1"/>
  <c r="P23" i="5"/>
  <c r="O23" i="5"/>
  <c r="L21" i="5"/>
  <c r="O21" i="5" s="1"/>
  <c r="L20" i="5"/>
  <c r="L13" i="5"/>
  <c r="P12" i="5"/>
  <c r="M9" i="5"/>
  <c r="O788" i="5"/>
  <c r="L786" i="5"/>
  <c r="O786" i="5" s="1"/>
  <c r="O238" i="5"/>
  <c r="L227" i="5"/>
  <c r="N9" i="5"/>
  <c r="M119" i="5"/>
  <c r="P119" i="5" s="1"/>
  <c r="P56" i="4"/>
  <c r="J417" i="5"/>
  <c r="K417" i="5" s="1"/>
  <c r="K433" i="5"/>
  <c r="O446" i="5"/>
  <c r="L444" i="5"/>
  <c r="O444" i="5" s="1"/>
  <c r="N20" i="5"/>
  <c r="N18" i="5" s="1"/>
  <c r="N13" i="5"/>
  <c r="N10" i="5" s="1"/>
  <c r="O9" i="5"/>
  <c r="O53" i="5"/>
  <c r="M66" i="3"/>
  <c r="P66" i="3" s="1"/>
  <c r="O263" i="3"/>
  <c r="N21" i="4"/>
  <c r="O347" i="5"/>
  <c r="P347" i="5"/>
  <c r="N345" i="5"/>
  <c r="P53" i="5"/>
  <c r="K434" i="5"/>
  <c r="I418" i="5"/>
  <c r="K418" i="5" s="1"/>
  <c r="P16" i="5"/>
  <c r="M14" i="5"/>
  <c r="P14" i="5" s="1"/>
  <c r="O347" i="3"/>
  <c r="L31" i="3"/>
  <c r="O31" i="3" s="1"/>
  <c r="L149" i="4"/>
  <c r="O149" i="4" s="1"/>
  <c r="O330" i="4"/>
  <c r="O183" i="4"/>
  <c r="O167" i="2"/>
  <c r="O43" i="3"/>
  <c r="L132" i="3"/>
  <c r="O132" i="3" s="1"/>
  <c r="K433" i="2"/>
  <c r="N298" i="2"/>
  <c r="P298" i="2" s="1"/>
  <c r="O183" i="3"/>
  <c r="L30" i="4"/>
  <c r="O30" i="4" s="1"/>
  <c r="O167" i="3"/>
  <c r="I226" i="4"/>
  <c r="I180" i="4" s="1"/>
  <c r="K180" i="4" s="1"/>
  <c r="K235" i="1"/>
  <c r="O300" i="4"/>
  <c r="P121" i="2"/>
  <c r="O328" i="3"/>
  <c r="O334" i="4"/>
  <c r="P43" i="3"/>
  <c r="L389" i="4"/>
  <c r="O389" i="4" s="1"/>
  <c r="L16" i="3"/>
  <c r="L14" i="3" s="1"/>
  <c r="O546" i="4"/>
  <c r="P167" i="3"/>
  <c r="P183" i="2"/>
  <c r="O330" i="3"/>
  <c r="P151" i="2"/>
  <c r="L53" i="4"/>
  <c r="O53" i="4" s="1"/>
  <c r="M181" i="4"/>
  <c r="P181" i="4" s="1"/>
  <c r="L41" i="4"/>
  <c r="O41" i="4" s="1"/>
  <c r="K433" i="4"/>
  <c r="J417" i="4"/>
  <c r="K417" i="4" s="1"/>
  <c r="O249" i="1"/>
  <c r="O300" i="2"/>
  <c r="N24" i="2"/>
  <c r="P24" i="2" s="1"/>
  <c r="O183" i="2"/>
  <c r="N21" i="3"/>
  <c r="P21" i="3" s="1"/>
  <c r="N165" i="3"/>
  <c r="O165" i="3" s="1"/>
  <c r="L149" i="3"/>
  <c r="O149" i="3" s="1"/>
  <c r="L444" i="4"/>
  <c r="O444" i="4" s="1"/>
  <c r="P152" i="4"/>
  <c r="K174" i="1"/>
  <c r="K236" i="1"/>
  <c r="P91" i="2"/>
  <c r="K559" i="3"/>
  <c r="M41" i="3"/>
  <c r="P41" i="3" s="1"/>
  <c r="P298" i="4"/>
  <c r="O328" i="4"/>
  <c r="O348" i="4"/>
  <c r="P55" i="4"/>
  <c r="M53" i="4"/>
  <c r="P53" i="4" s="1"/>
  <c r="M66" i="2"/>
  <c r="P66" i="2" s="1"/>
  <c r="L402" i="3"/>
  <c r="O402" i="3" s="1"/>
  <c r="L34" i="4"/>
  <c r="O34" i="4" s="1"/>
  <c r="O36" i="4"/>
  <c r="P23" i="4"/>
  <c r="M20" i="4"/>
  <c r="M18" i="4" s="1"/>
  <c r="M13" i="4"/>
  <c r="O631" i="4"/>
  <c r="L629" i="4"/>
  <c r="O629" i="4" s="1"/>
  <c r="P43" i="2"/>
  <c r="O29" i="4"/>
  <c r="O167" i="4"/>
  <c r="N165" i="4"/>
  <c r="O165" i="4" s="1"/>
  <c r="L277" i="4"/>
  <c r="O279" i="4"/>
  <c r="O168" i="4"/>
  <c r="P280" i="4"/>
  <c r="O280" i="4"/>
  <c r="P138" i="4"/>
  <c r="O138" i="4"/>
  <c r="N11" i="4"/>
  <c r="N9" i="4"/>
  <c r="N20" i="4"/>
  <c r="N18" i="4" s="1"/>
  <c r="O121" i="1"/>
  <c r="M13" i="3"/>
  <c r="P13" i="3" s="1"/>
  <c r="M119" i="3"/>
  <c r="P119" i="3" s="1"/>
  <c r="L181" i="3"/>
  <c r="O181" i="3" s="1"/>
  <c r="M402" i="4"/>
  <c r="P402" i="4" s="1"/>
  <c r="O15" i="4"/>
  <c r="M261" i="4"/>
  <c r="P261" i="4" s="1"/>
  <c r="P263" i="4"/>
  <c r="M21" i="4"/>
  <c r="M66" i="4"/>
  <c r="P66" i="4" s="1"/>
  <c r="P68" i="4"/>
  <c r="N28" i="4"/>
  <c r="O31" i="4"/>
  <c r="O68" i="4"/>
  <c r="L66" i="4"/>
  <c r="O66" i="4" s="1"/>
  <c r="P167" i="4"/>
  <c r="M165" i="4"/>
  <c r="M119" i="4"/>
  <c r="P119" i="4" s="1"/>
  <c r="P121" i="4"/>
  <c r="L181" i="2"/>
  <c r="O181" i="2" s="1"/>
  <c r="O26" i="4"/>
  <c r="L16" i="4"/>
  <c r="O16" i="4" s="1"/>
  <c r="L24" i="4"/>
  <c r="O9" i="4"/>
  <c r="O90" i="4"/>
  <c r="N88" i="4"/>
  <c r="O88" i="4" s="1"/>
  <c r="I64" i="4"/>
  <c r="K64" i="4" s="1"/>
  <c r="K76" i="4"/>
  <c r="P26" i="4"/>
  <c r="M16" i="4"/>
  <c r="O263" i="4"/>
  <c r="N261" i="4"/>
  <c r="O261" i="4" s="1"/>
  <c r="N24" i="4"/>
  <c r="P24" i="4" s="1"/>
  <c r="P12" i="4"/>
  <c r="M9" i="4"/>
  <c r="O23" i="4"/>
  <c r="L21" i="4"/>
  <c r="L13" i="4"/>
  <c r="L20" i="4"/>
  <c r="N14" i="4"/>
  <c r="L227" i="4"/>
  <c r="O238" i="4"/>
  <c r="M328" i="4"/>
  <c r="P328" i="4" s="1"/>
  <c r="P330" i="4"/>
  <c r="N10" i="4"/>
  <c r="N414" i="4"/>
  <c r="P181" i="2"/>
  <c r="P23" i="3"/>
  <c r="L227" i="3"/>
  <c r="O422" i="4"/>
  <c r="P132" i="4"/>
  <c r="N277" i="4"/>
  <c r="P277" i="4" s="1"/>
  <c r="O91" i="4"/>
  <c r="P134" i="4"/>
  <c r="O134" i="4"/>
  <c r="P19" i="4"/>
  <c r="O33" i="4"/>
  <c r="P391" i="4"/>
  <c r="M389" i="4"/>
  <c r="P389" i="4" s="1"/>
  <c r="O317" i="4"/>
  <c r="L315" i="4"/>
  <c r="O315" i="4" s="1"/>
  <c r="I131" i="4"/>
  <c r="K131" i="4" s="1"/>
  <c r="K143" i="4"/>
  <c r="P90" i="4"/>
  <c r="M88" i="4"/>
  <c r="M414" i="4"/>
  <c r="P414" i="4" s="1"/>
  <c r="P419" i="4"/>
  <c r="O132" i="4"/>
  <c r="P29" i="4"/>
  <c r="M28" i="4"/>
  <c r="P28" i="4" s="1"/>
  <c r="N688" i="1"/>
  <c r="O688" i="1" s="1"/>
  <c r="P68" i="1"/>
  <c r="M389" i="2"/>
  <c r="P389" i="2" s="1"/>
  <c r="P90" i="2"/>
  <c r="O68" i="2"/>
  <c r="P56" i="2"/>
  <c r="P149" i="2"/>
  <c r="O26" i="3"/>
  <c r="P121" i="1"/>
  <c r="O687" i="2"/>
  <c r="J522" i="2"/>
  <c r="K522" i="2" s="1"/>
  <c r="L467" i="3"/>
  <c r="O467" i="3" s="1"/>
  <c r="M149" i="3"/>
  <c r="P149" i="3" s="1"/>
  <c r="O690" i="1"/>
  <c r="M328" i="3"/>
  <c r="P328" i="3" s="1"/>
  <c r="I226" i="3"/>
  <c r="K226" i="3" s="1"/>
  <c r="J594" i="1"/>
  <c r="K594" i="1" s="1"/>
  <c r="M132" i="3"/>
  <c r="P132" i="3" s="1"/>
  <c r="L30" i="3"/>
  <c r="O30" i="3" s="1"/>
  <c r="P55" i="3"/>
  <c r="L34" i="3"/>
  <c r="O34" i="3" s="1"/>
  <c r="L655" i="3"/>
  <c r="O655" i="3" s="1"/>
  <c r="O657" i="3"/>
  <c r="P183" i="3"/>
  <c r="M181" i="3"/>
  <c r="P181" i="3" s="1"/>
  <c r="O685" i="2"/>
  <c r="L261" i="3"/>
  <c r="O261" i="3" s="1"/>
  <c r="O351" i="3"/>
  <c r="K374" i="3"/>
  <c r="M53" i="3"/>
  <c r="P53" i="3" s="1"/>
  <c r="L298" i="3"/>
  <c r="O298" i="3" s="1"/>
  <c r="O300" i="3"/>
  <c r="N20" i="3"/>
  <c r="N18" i="3" s="1"/>
  <c r="K434" i="3"/>
  <c r="I418" i="3"/>
  <c r="K418" i="3" s="1"/>
  <c r="P263" i="3"/>
  <c r="M261" i="3"/>
  <c r="P261" i="3" s="1"/>
  <c r="M345" i="3"/>
  <c r="P345" i="3" s="1"/>
  <c r="M277" i="1"/>
  <c r="P277" i="1" s="1"/>
  <c r="K434" i="2"/>
  <c r="O88" i="2"/>
  <c r="O209" i="1"/>
  <c r="L444" i="3"/>
  <c r="O444" i="3" s="1"/>
  <c r="L523" i="3"/>
  <c r="O523" i="3" s="1"/>
  <c r="L345" i="3"/>
  <c r="O345" i="3" s="1"/>
  <c r="P90" i="3"/>
  <c r="O121" i="3"/>
  <c r="L119" i="3"/>
  <c r="O119" i="3" s="1"/>
  <c r="O55" i="3"/>
  <c r="L53" i="3"/>
  <c r="O53" i="3" s="1"/>
  <c r="P404" i="3"/>
  <c r="M402" i="3"/>
  <c r="P402" i="3" s="1"/>
  <c r="P300" i="3"/>
  <c r="M298" i="3"/>
  <c r="P298" i="3" s="1"/>
  <c r="O660" i="1"/>
  <c r="J593" i="1"/>
  <c r="J592" i="1" s="1"/>
  <c r="K592" i="1" s="1"/>
  <c r="K417" i="2"/>
  <c r="M261" i="2"/>
  <c r="P261" i="2" s="1"/>
  <c r="L419" i="3"/>
  <c r="O419" i="3" s="1"/>
  <c r="P44" i="3"/>
  <c r="K433" i="3"/>
  <c r="I417" i="3"/>
  <c r="K417" i="3" s="1"/>
  <c r="L315" i="3"/>
  <c r="O315" i="3" s="1"/>
  <c r="P317" i="3"/>
  <c r="M315" i="3"/>
  <c r="P315" i="3" s="1"/>
  <c r="P29" i="3"/>
  <c r="M28" i="3"/>
  <c r="P28" i="3" s="1"/>
  <c r="M24" i="3"/>
  <c r="P26" i="3"/>
  <c r="M16" i="3"/>
  <c r="M14" i="3" s="1"/>
  <c r="O90" i="3"/>
  <c r="K675" i="1"/>
  <c r="P43" i="1"/>
  <c r="L402" i="2"/>
  <c r="O402" i="2" s="1"/>
  <c r="L315" i="2"/>
  <c r="O315" i="2" s="1"/>
  <c r="O546" i="2"/>
  <c r="O546" i="3"/>
  <c r="L544" i="3"/>
  <c r="O544" i="3" s="1"/>
  <c r="P15" i="3"/>
  <c r="P91" i="3"/>
  <c r="O90" i="2"/>
  <c r="P41" i="2"/>
  <c r="P55" i="2"/>
  <c r="P9" i="3"/>
  <c r="P88" i="3"/>
  <c r="O88" i="3"/>
  <c r="N11" i="3"/>
  <c r="M20" i="3"/>
  <c r="M414" i="3"/>
  <c r="P414" i="3" s="1"/>
  <c r="P419" i="3"/>
  <c r="I65" i="3"/>
  <c r="K65" i="3" s="1"/>
  <c r="K77" i="3"/>
  <c r="I64" i="3"/>
  <c r="K64" i="3" s="1"/>
  <c r="K76" i="3"/>
  <c r="L20" i="3"/>
  <c r="L13" i="3"/>
  <c r="O23" i="3"/>
  <c r="N16" i="3"/>
  <c r="N10" i="3" s="1"/>
  <c r="N8" i="3" s="1"/>
  <c r="N24" i="3"/>
  <c r="O24" i="3" s="1"/>
  <c r="O9" i="3"/>
  <c r="L389" i="1"/>
  <c r="O389" i="1" s="1"/>
  <c r="P88" i="2"/>
  <c r="O55" i="2"/>
  <c r="O41" i="2"/>
  <c r="P168" i="3"/>
  <c r="O41" i="3"/>
  <c r="K174" i="3"/>
  <c r="I164" i="3"/>
  <c r="K164" i="3" s="1"/>
  <c r="L30" i="2"/>
  <c r="O30" i="2" s="1"/>
  <c r="O181" i="1"/>
  <c r="K654" i="1"/>
  <c r="O167" i="1"/>
  <c r="M66" i="1"/>
  <c r="P66" i="1" s="1"/>
  <c r="O348" i="2"/>
  <c r="O165" i="2"/>
  <c r="P167" i="2"/>
  <c r="O238" i="1"/>
  <c r="L132" i="2"/>
  <c r="O132" i="2" s="1"/>
  <c r="O33" i="2"/>
  <c r="O43" i="2"/>
  <c r="O69" i="1"/>
  <c r="K374" i="2"/>
  <c r="O687" i="1"/>
  <c r="P318" i="2"/>
  <c r="L34" i="2"/>
  <c r="O34" i="2" s="1"/>
  <c r="P53" i="2"/>
  <c r="N526" i="1"/>
  <c r="O526" i="1" s="1"/>
  <c r="O68" i="1"/>
  <c r="O277" i="2"/>
  <c r="O347" i="1"/>
  <c r="P345" i="1"/>
  <c r="O279" i="2"/>
  <c r="M389" i="1"/>
  <c r="P389" i="1" s="1"/>
  <c r="O330" i="1"/>
  <c r="L30" i="1"/>
  <c r="L28" i="1" s="1"/>
  <c r="K669" i="1"/>
  <c r="K64" i="1"/>
  <c r="O56" i="2"/>
  <c r="M132" i="2"/>
  <c r="P132" i="2" s="1"/>
  <c r="M315" i="2"/>
  <c r="P315" i="2" s="1"/>
  <c r="N789" i="1"/>
  <c r="O789" i="1" s="1"/>
  <c r="O421" i="2"/>
  <c r="L419" i="2"/>
  <c r="O351" i="2"/>
  <c r="P351" i="2"/>
  <c r="P404" i="2"/>
  <c r="M402" i="2"/>
  <c r="P402" i="2" s="1"/>
  <c r="M402" i="1"/>
  <c r="P402" i="1" s="1"/>
  <c r="O472" i="1"/>
  <c r="K98" i="1"/>
  <c r="L13" i="1"/>
  <c r="L11" i="1" s="1"/>
  <c r="O528" i="1"/>
  <c r="M21" i="2"/>
  <c r="M13" i="2"/>
  <c r="M20" i="2"/>
  <c r="M18" i="2" s="1"/>
  <c r="P23" i="2"/>
  <c r="L298" i="2"/>
  <c r="N21" i="2"/>
  <c r="N13" i="2"/>
  <c r="N10" i="2" s="1"/>
  <c r="N20" i="2"/>
  <c r="N18" i="2" s="1"/>
  <c r="O331" i="2"/>
  <c r="O9" i="2"/>
  <c r="P348" i="2"/>
  <c r="L149" i="2"/>
  <c r="O149" i="2" s="1"/>
  <c r="O151" i="2"/>
  <c r="P19" i="2"/>
  <c r="M165" i="2"/>
  <c r="O317" i="1"/>
  <c r="P347" i="1"/>
  <c r="L34" i="1"/>
  <c r="O34" i="1" s="1"/>
  <c r="K86" i="1"/>
  <c r="K233" i="1"/>
  <c r="O43" i="1"/>
  <c r="O152" i="1"/>
  <c r="O469" i="2"/>
  <c r="N467" i="2"/>
  <c r="O467" i="2" s="1"/>
  <c r="P9" i="2"/>
  <c r="O29" i="2"/>
  <c r="O655" i="2"/>
  <c r="L119" i="2"/>
  <c r="O119" i="2" s="1"/>
  <c r="O121" i="2"/>
  <c r="P15" i="2"/>
  <c r="N414" i="2"/>
  <c r="L629" i="2"/>
  <c r="O629" i="2" s="1"/>
  <c r="O631" i="2"/>
  <c r="N345" i="2"/>
  <c r="P347" i="2"/>
  <c r="O347" i="2"/>
  <c r="L227" i="2"/>
  <c r="O238" i="2"/>
  <c r="O23" i="2"/>
  <c r="L20" i="2"/>
  <c r="L13" i="2"/>
  <c r="L21" i="2"/>
  <c r="P26" i="2"/>
  <c r="M16" i="2"/>
  <c r="P16" i="2" s="1"/>
  <c r="L261" i="2"/>
  <c r="O261" i="2" s="1"/>
  <c r="O263" i="2"/>
  <c r="K76" i="2"/>
  <c r="I64" i="2"/>
  <c r="K64" i="2" s="1"/>
  <c r="O15" i="2"/>
  <c r="L53" i="2"/>
  <c r="K237" i="2"/>
  <c r="I226" i="2"/>
  <c r="P44" i="2"/>
  <c r="P330" i="2"/>
  <c r="O330" i="2"/>
  <c r="P279" i="2"/>
  <c r="M277" i="2"/>
  <c r="P277" i="2" s="1"/>
  <c r="P280" i="2"/>
  <c r="O280" i="2"/>
  <c r="P59" i="1"/>
  <c r="N227" i="1"/>
  <c r="P55" i="1"/>
  <c r="O198" i="1"/>
  <c r="K522" i="1"/>
  <c r="L402" i="1"/>
  <c r="O402" i="1" s="1"/>
  <c r="K164" i="1"/>
  <c r="K112" i="1"/>
  <c r="L16" i="1"/>
  <c r="O16" i="1" s="1"/>
  <c r="O446" i="2"/>
  <c r="L444" i="2"/>
  <c r="O444" i="2" s="1"/>
  <c r="N9" i="2"/>
  <c r="M28" i="2"/>
  <c r="P28" i="2" s="1"/>
  <c r="P29" i="2"/>
  <c r="I65" i="2"/>
  <c r="K65" i="2" s="1"/>
  <c r="K77" i="2"/>
  <c r="O26" i="2"/>
  <c r="L16" i="2"/>
  <c r="O16" i="2" s="1"/>
  <c r="L24" i="2"/>
  <c r="N328" i="2"/>
  <c r="O657" i="1"/>
  <c r="N655" i="1"/>
  <c r="O655" i="1" s="1"/>
  <c r="O23" i="1"/>
  <c r="N788" i="1"/>
  <c r="N469" i="1"/>
  <c r="N467" i="1" s="1"/>
  <c r="K537" i="1"/>
  <c r="P351" i="1"/>
  <c r="P181" i="1"/>
  <c r="K76" i="1"/>
  <c r="N658" i="1"/>
  <c r="O658" i="1" s="1"/>
  <c r="L66" i="1"/>
  <c r="O66" i="1" s="1"/>
  <c r="M41" i="1"/>
  <c r="P41" i="1" s="1"/>
  <c r="L277" i="1"/>
  <c r="O277" i="1" s="1"/>
  <c r="L20" i="1"/>
  <c r="O217" i="1"/>
  <c r="P90" i="1"/>
  <c r="O90" i="1"/>
  <c r="P168" i="1"/>
  <c r="O56" i="1"/>
  <c r="P263" i="1"/>
  <c r="M261" i="1"/>
  <c r="P261" i="1" s="1"/>
  <c r="L685" i="1"/>
  <c r="O685" i="1" s="1"/>
  <c r="K288" i="1"/>
  <c r="N165" i="1"/>
  <c r="P165" i="1" s="1"/>
  <c r="K226" i="1"/>
  <c r="O88" i="1"/>
  <c r="K434" i="1"/>
  <c r="I418" i="1"/>
  <c r="K418" i="1" s="1"/>
  <c r="P301" i="1"/>
  <c r="K77" i="1"/>
  <c r="I65" i="1"/>
  <c r="K65" i="1" s="1"/>
  <c r="O328" i="1"/>
  <c r="O261" i="1"/>
  <c r="K237" i="1"/>
  <c r="O525" i="1"/>
  <c r="P167" i="1"/>
  <c r="O300" i="1"/>
  <c r="O263" i="1"/>
  <c r="M13" i="1"/>
  <c r="M11" i="1" s="1"/>
  <c r="M21" i="1"/>
  <c r="P21" i="1" s="1"/>
  <c r="L41" i="1"/>
  <c r="O41" i="1" s="1"/>
  <c r="P300" i="1"/>
  <c r="M298" i="1"/>
  <c r="P298" i="1" s="1"/>
  <c r="M88" i="1"/>
  <c r="P88" i="1" s="1"/>
  <c r="O19" i="1"/>
  <c r="O345" i="1"/>
  <c r="O21" i="1"/>
  <c r="N20" i="1"/>
  <c r="N18" i="1" s="1"/>
  <c r="M149" i="1"/>
  <c r="P149" i="1" s="1"/>
  <c r="P184" i="1"/>
  <c r="O184" i="1"/>
  <c r="N24" i="1"/>
  <c r="O24" i="1" s="1"/>
  <c r="O15" i="1"/>
  <c r="M414" i="1"/>
  <c r="P414" i="1" s="1"/>
  <c r="N315" i="1"/>
  <c r="O315" i="1" s="1"/>
  <c r="P56" i="1"/>
  <c r="O29" i="1"/>
  <c r="N14" i="1"/>
  <c r="N9" i="1"/>
  <c r="J131" i="1"/>
  <c r="K131" i="1" s="1"/>
  <c r="K143" i="1"/>
  <c r="N421" i="1"/>
  <c r="N422" i="1"/>
  <c r="O422" i="1" s="1"/>
  <c r="N33" i="1"/>
  <c r="O424" i="1"/>
  <c r="O132" i="1"/>
  <c r="M20" i="1"/>
  <c r="M16" i="1"/>
  <c r="M24" i="1"/>
  <c r="P26" i="1"/>
  <c r="O134" i="1"/>
  <c r="O151" i="1"/>
  <c r="L149" i="1"/>
  <c r="O149" i="1" s="1"/>
  <c r="P134" i="1"/>
  <c r="N447" i="1"/>
  <c r="O447" i="1" s="1"/>
  <c r="O449" i="1"/>
  <c r="N446" i="1"/>
  <c r="K576" i="1"/>
  <c r="J559" i="1"/>
  <c r="L523" i="1"/>
  <c r="O523" i="1" s="1"/>
  <c r="N631" i="1"/>
  <c r="N632" i="1"/>
  <c r="O632" i="1" s="1"/>
  <c r="P330" i="1"/>
  <c r="M328" i="1"/>
  <c r="L298" i="1"/>
  <c r="O298" i="1" s="1"/>
  <c r="K433" i="1"/>
  <c r="I417" i="1"/>
  <c r="K417" i="1" s="1"/>
  <c r="M119" i="1"/>
  <c r="P119" i="1" s="1"/>
  <c r="M9" i="1"/>
  <c r="P12" i="1"/>
  <c r="L544" i="1"/>
  <c r="P183" i="1"/>
  <c r="O183" i="1"/>
  <c r="L9" i="1"/>
  <c r="N547" i="1"/>
  <c r="O547" i="1" s="1"/>
  <c r="N546" i="1"/>
  <c r="N544" i="1" s="1"/>
  <c r="O634" i="1"/>
  <c r="M132" i="1"/>
  <c r="P132" i="1" s="1"/>
  <c r="P23" i="1"/>
  <c r="P19" i="1"/>
  <c r="O55" i="1"/>
  <c r="N53" i="1"/>
  <c r="O26" i="1"/>
  <c r="P16" i="22" l="1"/>
  <c r="O13" i="18"/>
  <c r="P165" i="20"/>
  <c r="O24" i="22"/>
  <c r="M37" i="22"/>
  <c r="P261" i="20"/>
  <c r="O53" i="20"/>
  <c r="N10" i="21"/>
  <c r="N8" i="21" s="1"/>
  <c r="M10" i="20"/>
  <c r="M8" i="20" s="1"/>
  <c r="N8" i="22"/>
  <c r="N37" i="22"/>
  <c r="N11" i="22"/>
  <c r="O11" i="22" s="1"/>
  <c r="O13" i="22"/>
  <c r="L10" i="22"/>
  <c r="O10" i="22" s="1"/>
  <c r="O41" i="22"/>
  <c r="L37" i="22"/>
  <c r="P345" i="22"/>
  <c r="P13" i="22"/>
  <c r="M10" i="22"/>
  <c r="M11" i="22"/>
  <c r="O30" i="22"/>
  <c r="L28" i="22"/>
  <c r="O28" i="22" s="1"/>
  <c r="P20" i="22"/>
  <c r="M18" i="22"/>
  <c r="P18" i="22" s="1"/>
  <c r="O18" i="22"/>
  <c r="O328" i="22"/>
  <c r="O9" i="22"/>
  <c r="O16" i="20"/>
  <c r="L414" i="22"/>
  <c r="O414" i="22" s="1"/>
  <c r="O419" i="22"/>
  <c r="O20" i="22"/>
  <c r="P181" i="22"/>
  <c r="P21" i="22"/>
  <c r="O16" i="22"/>
  <c r="L14" i="22"/>
  <c r="O14" i="22" s="1"/>
  <c r="O14" i="21"/>
  <c r="O16" i="21"/>
  <c r="P88" i="21"/>
  <c r="O88" i="21"/>
  <c r="M37" i="21"/>
  <c r="O165" i="21"/>
  <c r="P165" i="21"/>
  <c r="P21" i="20"/>
  <c r="P66" i="18"/>
  <c r="P9" i="21"/>
  <c r="N37" i="21"/>
  <c r="O41" i="21"/>
  <c r="L37" i="21"/>
  <c r="O20" i="21"/>
  <c r="L18" i="21"/>
  <c r="O18" i="21" s="1"/>
  <c r="L28" i="21"/>
  <c r="O28" i="21" s="1"/>
  <c r="L414" i="21"/>
  <c r="O414" i="21" s="1"/>
  <c r="N11" i="21"/>
  <c r="P11" i="21" s="1"/>
  <c r="O88" i="20"/>
  <c r="P88" i="20"/>
  <c r="P13" i="21"/>
  <c r="M10" i="21"/>
  <c r="P16" i="21"/>
  <c r="M14" i="21"/>
  <c r="P14" i="21" s="1"/>
  <c r="O30" i="20"/>
  <c r="L28" i="20"/>
  <c r="O28" i="20" s="1"/>
  <c r="P20" i="21"/>
  <c r="M18" i="21"/>
  <c r="P18" i="21" s="1"/>
  <c r="O13" i="21"/>
  <c r="L10" i="21"/>
  <c r="L11" i="21"/>
  <c r="P24" i="20"/>
  <c r="N10" i="20"/>
  <c r="P21" i="19"/>
  <c r="P181" i="18"/>
  <c r="P24" i="19"/>
  <c r="M37" i="20"/>
  <c r="P41" i="19"/>
  <c r="L37" i="20"/>
  <c r="N14" i="20"/>
  <c r="O14" i="20" s="1"/>
  <c r="P16" i="20"/>
  <c r="P13" i="20"/>
  <c r="O24" i="20"/>
  <c r="L414" i="20"/>
  <c r="O414" i="20" s="1"/>
  <c r="O13" i="20"/>
  <c r="L10" i="20"/>
  <c r="O20" i="15"/>
  <c r="M10" i="17"/>
  <c r="M8" i="17" s="1"/>
  <c r="O9" i="20"/>
  <c r="O18" i="20"/>
  <c r="N11" i="20"/>
  <c r="P11" i="20" s="1"/>
  <c r="O20" i="20"/>
  <c r="N37" i="20"/>
  <c r="O41" i="20"/>
  <c r="P18" i="20"/>
  <c r="P20" i="20"/>
  <c r="L28" i="16"/>
  <c r="O28" i="16" s="1"/>
  <c r="L10" i="19"/>
  <c r="L8" i="19" s="1"/>
  <c r="P88" i="14"/>
  <c r="L28" i="18"/>
  <c r="O28" i="18" s="1"/>
  <c r="P328" i="19"/>
  <c r="P20" i="17"/>
  <c r="O24" i="18"/>
  <c r="M37" i="19"/>
  <c r="L28" i="17"/>
  <c r="O28" i="17" s="1"/>
  <c r="L28" i="19"/>
  <c r="O28" i="19" s="1"/>
  <c r="O30" i="19"/>
  <c r="P20" i="19"/>
  <c r="M18" i="19"/>
  <c r="P18" i="19" s="1"/>
  <c r="P149" i="19"/>
  <c r="O149" i="19"/>
  <c r="O20" i="19"/>
  <c r="L18" i="19"/>
  <c r="O18" i="19" s="1"/>
  <c r="N10" i="19"/>
  <c r="N8" i="19" s="1"/>
  <c r="N11" i="19"/>
  <c r="O11" i="19" s="1"/>
  <c r="O16" i="19"/>
  <c r="L14" i="19"/>
  <c r="O419" i="19"/>
  <c r="L414" i="19"/>
  <c r="O414" i="19" s="1"/>
  <c r="N14" i="19"/>
  <c r="P14" i="19" s="1"/>
  <c r="P16" i="19"/>
  <c r="O24" i="19"/>
  <c r="N37" i="19"/>
  <c r="M414" i="19"/>
  <c r="P414" i="19" s="1"/>
  <c r="P345" i="19"/>
  <c r="O9" i="19"/>
  <c r="O13" i="19"/>
  <c r="P13" i="19"/>
  <c r="M10" i="19"/>
  <c r="M11" i="19"/>
  <c r="O53" i="19"/>
  <c r="L37" i="19"/>
  <c r="P24" i="18"/>
  <c r="P345" i="18"/>
  <c r="O16" i="17"/>
  <c r="O13" i="17"/>
  <c r="P21" i="18"/>
  <c r="P88" i="17"/>
  <c r="N14" i="17"/>
  <c r="O14" i="17" s="1"/>
  <c r="O20" i="18"/>
  <c r="L18" i="18"/>
  <c r="O18" i="18" s="1"/>
  <c r="L10" i="18"/>
  <c r="P13" i="18"/>
  <c r="M10" i="18"/>
  <c r="M8" i="18" s="1"/>
  <c r="M11" i="18"/>
  <c r="L14" i="18"/>
  <c r="O14" i="18" s="1"/>
  <c r="L10" i="17"/>
  <c r="L8" i="17" s="1"/>
  <c r="P165" i="16"/>
  <c r="P20" i="18"/>
  <c r="M18" i="18"/>
  <c r="P18" i="18" s="1"/>
  <c r="N10" i="18"/>
  <c r="N8" i="18" s="1"/>
  <c r="N11" i="18"/>
  <c r="O11" i="18" s="1"/>
  <c r="O419" i="18"/>
  <c r="L414" i="18"/>
  <c r="O414" i="18" s="1"/>
  <c r="P41" i="18"/>
  <c r="M37" i="18"/>
  <c r="O53" i="18"/>
  <c r="L37" i="18"/>
  <c r="P9" i="18"/>
  <c r="P119" i="18"/>
  <c r="M14" i="18"/>
  <c r="P14" i="18" s="1"/>
  <c r="N37" i="18"/>
  <c r="P13" i="17"/>
  <c r="O181" i="17"/>
  <c r="N37" i="15"/>
  <c r="M14" i="17"/>
  <c r="P16" i="17"/>
  <c r="P24" i="14"/>
  <c r="P41" i="15"/>
  <c r="P345" i="16"/>
  <c r="O20" i="17"/>
  <c r="P165" i="17"/>
  <c r="N18" i="17"/>
  <c r="O18" i="17" s="1"/>
  <c r="L414" i="17"/>
  <c r="O414" i="17" s="1"/>
  <c r="O419" i="17"/>
  <c r="O24" i="15"/>
  <c r="O24" i="16"/>
  <c r="P9" i="17"/>
  <c r="L37" i="17"/>
  <c r="N10" i="17"/>
  <c r="N8" i="17" s="1"/>
  <c r="N11" i="17"/>
  <c r="P11" i="17" s="1"/>
  <c r="O24" i="17"/>
  <c r="P24" i="17"/>
  <c r="P328" i="17"/>
  <c r="O21" i="12"/>
  <c r="M37" i="17"/>
  <c r="O9" i="17"/>
  <c r="N37" i="17"/>
  <c r="M10" i="15"/>
  <c r="M8" i="15" s="1"/>
  <c r="O345" i="15"/>
  <c r="O21" i="14"/>
  <c r="L14" i="16"/>
  <c r="O14" i="16" s="1"/>
  <c r="O41" i="16"/>
  <c r="P41" i="16"/>
  <c r="P53" i="15"/>
  <c r="N37" i="14"/>
  <c r="P20" i="14"/>
  <c r="M37" i="16"/>
  <c r="M14" i="16"/>
  <c r="P14" i="16" s="1"/>
  <c r="N8" i="14"/>
  <c r="P21" i="16"/>
  <c r="O88" i="16"/>
  <c r="P88" i="16"/>
  <c r="P16" i="11"/>
  <c r="N8" i="13"/>
  <c r="P13" i="16"/>
  <c r="M10" i="16"/>
  <c r="M11" i="16"/>
  <c r="P20" i="16"/>
  <c r="M18" i="16"/>
  <c r="P18" i="16" s="1"/>
  <c r="O21" i="16"/>
  <c r="O13" i="16"/>
  <c r="L10" i="16"/>
  <c r="L11" i="16"/>
  <c r="N10" i="16"/>
  <c r="N8" i="16" s="1"/>
  <c r="N11" i="16"/>
  <c r="O419" i="16"/>
  <c r="L414" i="16"/>
  <c r="O414" i="16" s="1"/>
  <c r="O20" i="16"/>
  <c r="L18" i="16"/>
  <c r="O18" i="16" s="1"/>
  <c r="O181" i="16"/>
  <c r="P181" i="16"/>
  <c r="L37" i="16"/>
  <c r="N37" i="16"/>
  <c r="O14" i="15"/>
  <c r="O16" i="15"/>
  <c r="L14" i="14"/>
  <c r="O14" i="14" s="1"/>
  <c r="P14" i="15"/>
  <c r="L18" i="15"/>
  <c r="O18" i="15" s="1"/>
  <c r="P20" i="15"/>
  <c r="M18" i="15"/>
  <c r="P18" i="15" s="1"/>
  <c r="P24" i="13"/>
  <c r="P24" i="15"/>
  <c r="P21" i="15"/>
  <c r="P20" i="12"/>
  <c r="O24" i="13"/>
  <c r="P16" i="15"/>
  <c r="N10" i="15"/>
  <c r="N8" i="15" s="1"/>
  <c r="N11" i="15"/>
  <c r="P11" i="15" s="1"/>
  <c r="P13" i="15"/>
  <c r="O24" i="14"/>
  <c r="O30" i="15"/>
  <c r="L28" i="15"/>
  <c r="O28" i="15" s="1"/>
  <c r="O18" i="12"/>
  <c r="L37" i="14"/>
  <c r="L414" i="15"/>
  <c r="O414" i="15" s="1"/>
  <c r="O328" i="15"/>
  <c r="P328" i="15"/>
  <c r="P132" i="15"/>
  <c r="M37" i="15"/>
  <c r="O119" i="15"/>
  <c r="L37" i="15"/>
  <c r="O13" i="15"/>
  <c r="L10" i="15"/>
  <c r="L11" i="15"/>
  <c r="O9" i="15"/>
  <c r="O345" i="14"/>
  <c r="P149" i="14"/>
  <c r="O20" i="13"/>
  <c r="L28" i="13"/>
  <c r="O28" i="13" s="1"/>
  <c r="L18" i="13"/>
  <c r="O18" i="13" s="1"/>
  <c r="L28" i="14"/>
  <c r="O28" i="14" s="1"/>
  <c r="N10" i="12"/>
  <c r="N8" i="12" s="1"/>
  <c r="M18" i="14"/>
  <c r="P18" i="14" s="1"/>
  <c r="P41" i="14"/>
  <c r="O41" i="14"/>
  <c r="L414" i="14"/>
  <c r="O414" i="14" s="1"/>
  <c r="O419" i="14"/>
  <c r="O13" i="14"/>
  <c r="L10" i="14"/>
  <c r="L11" i="14"/>
  <c r="O11" i="14" s="1"/>
  <c r="P13" i="14"/>
  <c r="M10" i="14"/>
  <c r="P10" i="14" s="1"/>
  <c r="P16" i="14"/>
  <c r="M14" i="14"/>
  <c r="P14" i="14" s="1"/>
  <c r="P9" i="14"/>
  <c r="O20" i="14"/>
  <c r="L18" i="14"/>
  <c r="O18" i="14" s="1"/>
  <c r="M37" i="14"/>
  <c r="M11" i="14"/>
  <c r="P11" i="14" s="1"/>
  <c r="P21" i="10"/>
  <c r="N11" i="13"/>
  <c r="O11" i="13" s="1"/>
  <c r="L10" i="13"/>
  <c r="O10" i="13" s="1"/>
  <c r="P21" i="9"/>
  <c r="P328" i="13"/>
  <c r="P14" i="11"/>
  <c r="P18" i="13"/>
  <c r="O13" i="13"/>
  <c r="P20" i="13"/>
  <c r="L14" i="13"/>
  <c r="O14" i="13" s="1"/>
  <c r="P16" i="13"/>
  <c r="M14" i="13"/>
  <c r="P14" i="13" s="1"/>
  <c r="L28" i="10"/>
  <c r="O28" i="10" s="1"/>
  <c r="O24" i="11"/>
  <c r="P14" i="12"/>
  <c r="L414" i="13"/>
  <c r="O414" i="13" s="1"/>
  <c r="O419" i="13"/>
  <c r="P21" i="13"/>
  <c r="O9" i="13"/>
  <c r="P345" i="13"/>
  <c r="O41" i="13"/>
  <c r="L37" i="13"/>
  <c r="M37" i="13"/>
  <c r="P13" i="13"/>
  <c r="M10" i="13"/>
  <c r="M11" i="13"/>
  <c r="N37" i="13"/>
  <c r="L28" i="11"/>
  <c r="O28" i="11" s="1"/>
  <c r="O20" i="12"/>
  <c r="O11" i="12"/>
  <c r="P16" i="12"/>
  <c r="O24" i="10"/>
  <c r="P149" i="11"/>
  <c r="P132" i="12"/>
  <c r="P24" i="10"/>
  <c r="L414" i="12"/>
  <c r="O414" i="12" s="1"/>
  <c r="O419" i="12"/>
  <c r="O30" i="12"/>
  <c r="L28" i="12"/>
  <c r="O28" i="12" s="1"/>
  <c r="L10" i="11"/>
  <c r="L14" i="12"/>
  <c r="O14" i="12" s="1"/>
  <c r="O16" i="12"/>
  <c r="P11" i="12"/>
  <c r="M18" i="12"/>
  <c r="P18" i="12" s="1"/>
  <c r="O13" i="11"/>
  <c r="M37" i="12"/>
  <c r="O119" i="12"/>
  <c r="L37" i="12"/>
  <c r="O13" i="12"/>
  <c r="L10" i="12"/>
  <c r="L8" i="12" s="1"/>
  <c r="L14" i="11"/>
  <c r="O14" i="11" s="1"/>
  <c r="P13" i="12"/>
  <c r="M10" i="12"/>
  <c r="L28" i="9"/>
  <c r="O28" i="9" s="1"/>
  <c r="O21" i="10"/>
  <c r="O9" i="12"/>
  <c r="N37" i="12"/>
  <c r="O88" i="12"/>
  <c r="P9" i="12"/>
  <c r="N11" i="10"/>
  <c r="P11" i="10" s="1"/>
  <c r="O88" i="10"/>
  <c r="N8" i="9"/>
  <c r="M14" i="10"/>
  <c r="P14" i="10" s="1"/>
  <c r="P20" i="11"/>
  <c r="O165" i="10"/>
  <c r="N10" i="11"/>
  <c r="N8" i="11" s="1"/>
  <c r="N11" i="11"/>
  <c r="O11" i="11" s="1"/>
  <c r="P9" i="11"/>
  <c r="O9" i="11"/>
  <c r="O14" i="9"/>
  <c r="O345" i="10"/>
  <c r="M18" i="11"/>
  <c r="P18" i="11" s="1"/>
  <c r="P13" i="11"/>
  <c r="M10" i="11"/>
  <c r="M37" i="11"/>
  <c r="O20" i="11"/>
  <c r="L18" i="11"/>
  <c r="O18" i="11" s="1"/>
  <c r="L414" i="11"/>
  <c r="O414" i="11" s="1"/>
  <c r="O419" i="11"/>
  <c r="L37" i="11"/>
  <c r="N37" i="11"/>
  <c r="P53" i="11"/>
  <c r="O53" i="11"/>
  <c r="O21" i="8"/>
  <c r="M11" i="11"/>
  <c r="P21" i="11"/>
  <c r="L28" i="8"/>
  <c r="O28" i="8" s="1"/>
  <c r="P20" i="8"/>
  <c r="N8" i="10"/>
  <c r="P13" i="10"/>
  <c r="O16" i="9"/>
  <c r="P24" i="9"/>
  <c r="L14" i="10"/>
  <c r="O14" i="10" s="1"/>
  <c r="L37" i="10"/>
  <c r="M10" i="10"/>
  <c r="P10" i="10" s="1"/>
  <c r="O9" i="10"/>
  <c r="P20" i="10"/>
  <c r="M18" i="10"/>
  <c r="P18" i="10" s="1"/>
  <c r="P9" i="10"/>
  <c r="O13" i="10"/>
  <c r="L10" i="10"/>
  <c r="O10" i="10" s="1"/>
  <c r="L11" i="10"/>
  <c r="O11" i="10" s="1"/>
  <c r="P41" i="10"/>
  <c r="M37" i="10"/>
  <c r="O20" i="10"/>
  <c r="L18" i="10"/>
  <c r="O18" i="10" s="1"/>
  <c r="O419" i="10"/>
  <c r="L414" i="10"/>
  <c r="O414" i="10" s="1"/>
  <c r="N37" i="10"/>
  <c r="O21" i="9"/>
  <c r="P11" i="9"/>
  <c r="O20" i="8"/>
  <c r="L10" i="8"/>
  <c r="L8" i="8" s="1"/>
  <c r="L10" i="9"/>
  <c r="O10" i="9" s="1"/>
  <c r="O13" i="9"/>
  <c r="L414" i="9"/>
  <c r="O414" i="9" s="1"/>
  <c r="O419" i="9"/>
  <c r="O20" i="9"/>
  <c r="L37" i="9"/>
  <c r="O37" i="9" s="1"/>
  <c r="P9" i="9"/>
  <c r="P24" i="8"/>
  <c r="O24" i="8"/>
  <c r="P13" i="9"/>
  <c r="M10" i="9"/>
  <c r="P10" i="9" s="1"/>
  <c r="M37" i="9"/>
  <c r="P37" i="9" s="1"/>
  <c r="P41" i="9"/>
  <c r="P20" i="9"/>
  <c r="M18" i="9"/>
  <c r="P18" i="9" s="1"/>
  <c r="O18" i="9"/>
  <c r="O24" i="9"/>
  <c r="O9" i="9"/>
  <c r="L11" i="9"/>
  <c r="O11" i="9" s="1"/>
  <c r="O277" i="8"/>
  <c r="O298" i="8"/>
  <c r="L28" i="7"/>
  <c r="O28" i="7" s="1"/>
  <c r="P345" i="8"/>
  <c r="P20" i="6"/>
  <c r="O53" i="7"/>
  <c r="M14" i="7"/>
  <c r="P14" i="7" s="1"/>
  <c r="P328" i="7"/>
  <c r="L414" i="8"/>
  <c r="O414" i="8" s="1"/>
  <c r="O419" i="8"/>
  <c r="P41" i="8"/>
  <c r="M37" i="8"/>
  <c r="P88" i="8"/>
  <c r="N37" i="8"/>
  <c r="N18" i="8"/>
  <c r="P18" i="8" s="1"/>
  <c r="O18" i="6"/>
  <c r="P16" i="8"/>
  <c r="M14" i="8"/>
  <c r="P14" i="8" s="1"/>
  <c r="M10" i="8"/>
  <c r="N10" i="8"/>
  <c r="N8" i="8" s="1"/>
  <c r="N11" i="8"/>
  <c r="P11" i="8" s="1"/>
  <c r="O41" i="8"/>
  <c r="L37" i="8"/>
  <c r="P13" i="8"/>
  <c r="P24" i="7"/>
  <c r="O13" i="8"/>
  <c r="P165" i="7"/>
  <c r="L37" i="7"/>
  <c r="M18" i="6"/>
  <c r="P18" i="6" s="1"/>
  <c r="P11" i="6"/>
  <c r="L14" i="7"/>
  <c r="O14" i="7" s="1"/>
  <c r="N37" i="7"/>
  <c r="L414" i="7"/>
  <c r="O414" i="7" s="1"/>
  <c r="O419" i="7"/>
  <c r="O21" i="7"/>
  <c r="L10" i="7"/>
  <c r="O13" i="7"/>
  <c r="L11" i="7"/>
  <c r="P13" i="7"/>
  <c r="M10" i="7"/>
  <c r="M11" i="7"/>
  <c r="O20" i="7"/>
  <c r="L18" i="7"/>
  <c r="O18" i="7" s="1"/>
  <c r="M37" i="7"/>
  <c r="O9" i="7"/>
  <c r="N10" i="7"/>
  <c r="N8" i="7" s="1"/>
  <c r="N11" i="7"/>
  <c r="P20" i="7"/>
  <c r="M18" i="7"/>
  <c r="P18" i="7" s="1"/>
  <c r="O24" i="2"/>
  <c r="P21" i="6"/>
  <c r="N37" i="3"/>
  <c r="O298" i="2"/>
  <c r="P21" i="4"/>
  <c r="O21" i="4"/>
  <c r="O20" i="6"/>
  <c r="L37" i="5"/>
  <c r="P24" i="5"/>
  <c r="P165" i="3"/>
  <c r="L14" i="6"/>
  <c r="O14" i="6" s="1"/>
  <c r="O13" i="6"/>
  <c r="L10" i="6"/>
  <c r="L11" i="6"/>
  <c r="O11" i="6" s="1"/>
  <c r="L28" i="6"/>
  <c r="O28" i="6" s="1"/>
  <c r="O419" i="6"/>
  <c r="L414" i="6"/>
  <c r="O414" i="6" s="1"/>
  <c r="M37" i="6"/>
  <c r="L37" i="6"/>
  <c r="P9" i="6"/>
  <c r="N37" i="6"/>
  <c r="O345" i="6"/>
  <c r="O298" i="6"/>
  <c r="P13" i="6"/>
  <c r="M10" i="6"/>
  <c r="P10" i="6" s="1"/>
  <c r="O24" i="5"/>
  <c r="L28" i="4"/>
  <c r="O28" i="4" s="1"/>
  <c r="M37" i="5"/>
  <c r="N8" i="5"/>
  <c r="P20" i="5"/>
  <c r="L28" i="5"/>
  <c r="O28" i="5" s="1"/>
  <c r="O345" i="4"/>
  <c r="P345" i="5"/>
  <c r="O345" i="5"/>
  <c r="N11" i="5"/>
  <c r="P11" i="5" s="1"/>
  <c r="P9" i="5"/>
  <c r="O16" i="5"/>
  <c r="L14" i="5"/>
  <c r="O14" i="5" s="1"/>
  <c r="M18" i="5"/>
  <c r="P18" i="5" s="1"/>
  <c r="O13" i="5"/>
  <c r="L10" i="5"/>
  <c r="L11" i="5"/>
  <c r="P13" i="5"/>
  <c r="M10" i="5"/>
  <c r="P10" i="5" s="1"/>
  <c r="L414" i="5"/>
  <c r="O414" i="5" s="1"/>
  <c r="O419" i="5"/>
  <c r="O20" i="5"/>
  <c r="L18" i="5"/>
  <c r="O18" i="5" s="1"/>
  <c r="O467" i="5"/>
  <c r="N414" i="5"/>
  <c r="O328" i="5"/>
  <c r="P328" i="5"/>
  <c r="N37" i="5"/>
  <c r="K226" i="4"/>
  <c r="M11" i="3"/>
  <c r="L28" i="3"/>
  <c r="O28" i="3" s="1"/>
  <c r="O21" i="3"/>
  <c r="L37" i="4"/>
  <c r="P88" i="4"/>
  <c r="L414" i="4"/>
  <c r="O414" i="4" s="1"/>
  <c r="N37" i="4"/>
  <c r="P165" i="4"/>
  <c r="L14" i="4"/>
  <c r="O14" i="4" s="1"/>
  <c r="P13" i="4"/>
  <c r="M10" i="4"/>
  <c r="P10" i="4" s="1"/>
  <c r="P9" i="4"/>
  <c r="N8" i="4"/>
  <c r="P20" i="4"/>
  <c r="M37" i="4"/>
  <c r="P16" i="4"/>
  <c r="M14" i="4"/>
  <c r="P14" i="4" s="1"/>
  <c r="P18" i="4"/>
  <c r="O20" i="4"/>
  <c r="L18" i="4"/>
  <c r="O18" i="4" s="1"/>
  <c r="M11" i="4"/>
  <c r="P11" i="4" s="1"/>
  <c r="O277" i="4"/>
  <c r="N37" i="2"/>
  <c r="O21" i="2"/>
  <c r="P21" i="2"/>
  <c r="M10" i="3"/>
  <c r="M8" i="3" s="1"/>
  <c r="P8" i="3" s="1"/>
  <c r="O13" i="4"/>
  <c r="L10" i="4"/>
  <c r="L11" i="4"/>
  <c r="O11" i="4" s="1"/>
  <c r="O24" i="4"/>
  <c r="K593" i="1"/>
  <c r="L414" i="3"/>
  <c r="O414" i="3" s="1"/>
  <c r="N14" i="3"/>
  <c r="O14" i="3" s="1"/>
  <c r="M37" i="3"/>
  <c r="L37" i="3"/>
  <c r="L10" i="3"/>
  <c r="O13" i="3"/>
  <c r="L11" i="3"/>
  <c r="O11" i="3" s="1"/>
  <c r="N8" i="2"/>
  <c r="O20" i="3"/>
  <c r="L18" i="3"/>
  <c r="O18" i="3" s="1"/>
  <c r="P16" i="3"/>
  <c r="P11" i="3"/>
  <c r="M18" i="3"/>
  <c r="P18" i="3" s="1"/>
  <c r="P20" i="3"/>
  <c r="O16" i="3"/>
  <c r="P24" i="3"/>
  <c r="L10" i="1"/>
  <c r="L8" i="1" s="1"/>
  <c r="L28" i="2"/>
  <c r="O28" i="2" s="1"/>
  <c r="P20" i="1"/>
  <c r="N11" i="2"/>
  <c r="L14" i="2"/>
  <c r="O14" i="2" s="1"/>
  <c r="P18" i="2"/>
  <c r="L14" i="1"/>
  <c r="O14" i="1" s="1"/>
  <c r="O345" i="2"/>
  <c r="P345" i="2"/>
  <c r="P13" i="2"/>
  <c r="M10" i="2"/>
  <c r="M11" i="2"/>
  <c r="O53" i="2"/>
  <c r="L37" i="2"/>
  <c r="O20" i="2"/>
  <c r="L18" i="2"/>
  <c r="O18" i="2" s="1"/>
  <c r="P165" i="2"/>
  <c r="M37" i="2"/>
  <c r="O419" i="2"/>
  <c r="L414" i="2"/>
  <c r="O414" i="2" s="1"/>
  <c r="O20" i="1"/>
  <c r="O328" i="2"/>
  <c r="P328" i="2"/>
  <c r="K226" i="2"/>
  <c r="I180" i="2"/>
  <c r="K180" i="2" s="1"/>
  <c r="O13" i="2"/>
  <c r="L10" i="2"/>
  <c r="L11" i="2"/>
  <c r="M14" i="2"/>
  <c r="P14" i="2" s="1"/>
  <c r="P20" i="2"/>
  <c r="L18" i="1"/>
  <c r="O18" i="1" s="1"/>
  <c r="O165" i="1"/>
  <c r="N786" i="1"/>
  <c r="O786" i="1" s="1"/>
  <c r="O788" i="1"/>
  <c r="M18" i="1"/>
  <c r="P18" i="1" s="1"/>
  <c r="P24" i="1"/>
  <c r="O9" i="1"/>
  <c r="N30" i="1"/>
  <c r="N31" i="1"/>
  <c r="O31" i="1" s="1"/>
  <c r="O33" i="1"/>
  <c r="N629" i="1"/>
  <c r="O629" i="1" s="1"/>
  <c r="O631" i="1"/>
  <c r="N37" i="1"/>
  <c r="O53" i="1"/>
  <c r="P9" i="1"/>
  <c r="K559" i="1"/>
  <c r="J543" i="1"/>
  <c r="K543" i="1" s="1"/>
  <c r="M37" i="1"/>
  <c r="N13" i="1"/>
  <c r="O544" i="1"/>
  <c r="N444" i="1"/>
  <c r="O444" i="1" s="1"/>
  <c r="O446" i="1"/>
  <c r="P53" i="1"/>
  <c r="P16" i="1"/>
  <c r="M14" i="1"/>
  <c r="P14" i="1" s="1"/>
  <c r="M10" i="1"/>
  <c r="N419" i="1"/>
  <c r="O421" i="1"/>
  <c r="L414" i="1"/>
  <c r="O546" i="1"/>
  <c r="L37" i="1"/>
  <c r="O11" i="15" l="1"/>
  <c r="O10" i="15"/>
  <c r="O10" i="11"/>
  <c r="O11" i="7"/>
  <c r="O10" i="7"/>
  <c r="O11" i="5"/>
  <c r="L8" i="9"/>
  <c r="O8" i="9" s="1"/>
  <c r="P10" i="20"/>
  <c r="O37" i="22"/>
  <c r="P37" i="22"/>
  <c r="P10" i="21"/>
  <c r="O11" i="21"/>
  <c r="P11" i="22"/>
  <c r="L8" i="22"/>
  <c r="O8" i="22" s="1"/>
  <c r="P10" i="22"/>
  <c r="M8" i="22"/>
  <c r="P8" i="22" s="1"/>
  <c r="P37" i="21"/>
  <c r="O10" i="20"/>
  <c r="N8" i="20"/>
  <c r="P8" i="20" s="1"/>
  <c r="O10" i="21"/>
  <c r="L8" i="21"/>
  <c r="O8" i="21" s="1"/>
  <c r="M8" i="21"/>
  <c r="P8" i="21" s="1"/>
  <c r="O37" i="21"/>
  <c r="P37" i="20"/>
  <c r="P11" i="19"/>
  <c r="P14" i="20"/>
  <c r="O11" i="20"/>
  <c r="O37" i="20"/>
  <c r="L8" i="20"/>
  <c r="P37" i="17"/>
  <c r="P37" i="19"/>
  <c r="O37" i="19"/>
  <c r="O8" i="19"/>
  <c r="P10" i="19"/>
  <c r="M8" i="19"/>
  <c r="P8" i="19" s="1"/>
  <c r="O14" i="19"/>
  <c r="O10" i="19"/>
  <c r="O37" i="18"/>
  <c r="P14" i="17"/>
  <c r="P8" i="18"/>
  <c r="P37" i="15"/>
  <c r="P10" i="17"/>
  <c r="O10" i="18"/>
  <c r="L8" i="18"/>
  <c r="O8" i="18" s="1"/>
  <c r="P37" i="18"/>
  <c r="P11" i="18"/>
  <c r="O37" i="15"/>
  <c r="P10" i="18"/>
  <c r="P18" i="17"/>
  <c r="P37" i="16"/>
  <c r="O11" i="17"/>
  <c r="O37" i="14"/>
  <c r="P8" i="17"/>
  <c r="O37" i="16"/>
  <c r="O10" i="17"/>
  <c r="O8" i="17"/>
  <c r="O37" i="17"/>
  <c r="P37" i="14"/>
  <c r="O11" i="16"/>
  <c r="P10" i="15"/>
  <c r="O10" i="16"/>
  <c r="L8" i="16"/>
  <c r="O8" i="16" s="1"/>
  <c r="P11" i="16"/>
  <c r="P8" i="15"/>
  <c r="P10" i="16"/>
  <c r="M8" i="16"/>
  <c r="P8" i="16" s="1"/>
  <c r="O37" i="13"/>
  <c r="L8" i="15"/>
  <c r="O8" i="15" s="1"/>
  <c r="L8" i="13"/>
  <c r="O8" i="13" s="1"/>
  <c r="P37" i="13"/>
  <c r="P10" i="12"/>
  <c r="O8" i="12"/>
  <c r="O10" i="12"/>
  <c r="O10" i="14"/>
  <c r="L8" i="14"/>
  <c r="O8" i="14" s="1"/>
  <c r="M8" i="14"/>
  <c r="P8" i="14" s="1"/>
  <c r="P11" i="13"/>
  <c r="P10" i="13"/>
  <c r="M8" i="13"/>
  <c r="P8" i="13" s="1"/>
  <c r="M8" i="12"/>
  <c r="P8" i="12" s="1"/>
  <c r="L8" i="11"/>
  <c r="O8" i="11" s="1"/>
  <c r="P37" i="12"/>
  <c r="O37" i="12"/>
  <c r="P11" i="11"/>
  <c r="O18" i="8"/>
  <c r="P10" i="11"/>
  <c r="P37" i="11"/>
  <c r="O37" i="11"/>
  <c r="M8" i="11"/>
  <c r="P8" i="11" s="1"/>
  <c r="O37" i="10"/>
  <c r="M8" i="10"/>
  <c r="P8" i="10" s="1"/>
  <c r="L8" i="10"/>
  <c r="O8" i="10" s="1"/>
  <c r="P37" i="10"/>
  <c r="M8" i="9"/>
  <c r="P8" i="9" s="1"/>
  <c r="O8" i="8"/>
  <c r="O37" i="5"/>
  <c r="O37" i="8"/>
  <c r="O10" i="8"/>
  <c r="P37" i="8"/>
  <c r="O11" i="8"/>
  <c r="P10" i="8"/>
  <c r="M8" i="8"/>
  <c r="P8" i="8" s="1"/>
  <c r="O37" i="7"/>
  <c r="O37" i="3"/>
  <c r="P37" i="3"/>
  <c r="L8" i="7"/>
  <c r="O8" i="7" s="1"/>
  <c r="P37" i="7"/>
  <c r="P37" i="6"/>
  <c r="P11" i="7"/>
  <c r="P10" i="7"/>
  <c r="M8" i="7"/>
  <c r="P8" i="7" s="1"/>
  <c r="O37" i="2"/>
  <c r="O37" i="6"/>
  <c r="O10" i="6"/>
  <c r="L8" i="6"/>
  <c r="O8" i="6" s="1"/>
  <c r="M8" i="6"/>
  <c r="P8" i="6" s="1"/>
  <c r="P37" i="5"/>
  <c r="O10" i="5"/>
  <c r="L8" i="5"/>
  <c r="O8" i="5" s="1"/>
  <c r="M8" i="5"/>
  <c r="P8" i="5" s="1"/>
  <c r="P10" i="3"/>
  <c r="P37" i="4"/>
  <c r="O37" i="4"/>
  <c r="P11" i="2"/>
  <c r="P14" i="3"/>
  <c r="O10" i="4"/>
  <c r="L8" i="4"/>
  <c r="O8" i="4" s="1"/>
  <c r="P37" i="2"/>
  <c r="M8" i="4"/>
  <c r="P8" i="4" s="1"/>
  <c r="O11" i="2"/>
  <c r="O10" i="3"/>
  <c r="L8" i="3"/>
  <c r="O8" i="3" s="1"/>
  <c r="O10" i="2"/>
  <c r="L8" i="2"/>
  <c r="O8" i="2" s="1"/>
  <c r="P10" i="2"/>
  <c r="M8" i="2"/>
  <c r="P8" i="2" s="1"/>
  <c r="O37" i="1"/>
  <c r="P37" i="1"/>
  <c r="N10" i="1"/>
  <c r="P10" i="1" s="1"/>
  <c r="P13" i="1"/>
  <c r="N11" i="1"/>
  <c r="O13" i="1"/>
  <c r="N28" i="1"/>
  <c r="O28" i="1" s="1"/>
  <c r="O30" i="1"/>
  <c r="N414" i="1"/>
  <c r="O414" i="1" s="1"/>
  <c r="O419" i="1"/>
  <c r="M8" i="1"/>
  <c r="O8" i="20" l="1"/>
  <c r="P11" i="1"/>
  <c r="O11" i="1"/>
  <c r="N8" i="1"/>
  <c r="O8" i="1" s="1"/>
  <c r="O10" i="1"/>
  <c r="P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F7701CB7-9BBD-4058-9BB4-6A9C2C1F5F18}">
      <text>
        <r>
          <rPr>
            <sz val="10"/>
            <color rgb="FF000000"/>
            <rFont val="Arial"/>
            <scheme val="minor"/>
          </rPr>
          <t>จังหวัดใส่วันที่เองไม่ได้
	-Anonymous</t>
        </r>
      </text>
    </comment>
  </commentList>
</comments>
</file>

<file path=xl/sharedStrings.xml><?xml version="1.0" encoding="utf-8"?>
<sst xmlns="http://schemas.openxmlformats.org/spreadsheetml/2006/main" count="34188" uniqueCount="360">
  <si>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</si>
  <si>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</si>
  <si>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</si>
  <si>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</si>
  <si>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</si>
  <si>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</si>
  <si>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</si>
  <si>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</si>
  <si>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</si>
  <si>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</si>
  <si>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</si>
  <si>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</si>
  <si>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</si>
  <si>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</si>
  <si>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</si>
  <si>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</si>
  <si>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</si>
  <si>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</si>
  <si>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</si>
  <si>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</si>
  <si>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</si>
  <si>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</si>
  <si>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</si>
  <si>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</si>
  <si>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</si>
  <si>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</si>
  <si>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</si>
  <si>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</si>
  <si>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</si>
  <si>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</si>
  <si>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</si>
  <si>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</si>
  <si>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</si>
  <si>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</si>
  <si>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</si>
  <si>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</si>
  <si>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</si>
  <si>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</si>
  <si>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</si>
  <si>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</si>
  <si>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</si>
  <si>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</si>
  <si>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</si>
  <si>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</si>
  <si>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</si>
  <si>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</si>
  <si>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</si>
  <si>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</si>
  <si>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</si>
  <si>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</si>
  <si>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</si>
  <si>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</si>
  <si>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</si>
  <si>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</si>
  <si>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</si>
  <si>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</si>
  <si>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</si>
  <si>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</si>
  <si>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</si>
  <si>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</si>
  <si>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</si>
  <si>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</si>
  <si>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</si>
  <si>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</si>
  <si>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</si>
  <si>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</si>
  <si>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</si>
  <si>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</si>
  <si>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</si>
  <si>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</si>
  <si>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</si>
  <si>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</si>
  <si>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</si>
  <si>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</si>
  <si>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</si>
  <si>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</si>
  <si>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</si>
  <si>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</si>
  <si>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</si>
  <si>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</si>
  <si>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</si>
  <si>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</si>
  <si>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</si>
  <si>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</si>
  <si>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</si>
  <si>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</si>
  <si>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</si>
  <si>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</si>
  <si>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</si>
  <si>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</si>
  <si>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</si>
  <si>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</si>
  <si>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</si>
  <si>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</si>
  <si>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</si>
  <si>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</si>
  <si>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</si>
  <si>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</si>
  <si>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</si>
  <si>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</si>
  <si>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</si>
  <si>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</si>
  <si>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</si>
  <si>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</si>
  <si>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</si>
  <si>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</si>
  <si>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</si>
  <si>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</si>
  <si>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</si>
  <si>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</si>
  <si>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</si>
  <si>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</si>
  <si>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</si>
  <si>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</si>
  <si>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</si>
  <si>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</si>
  <si>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</si>
  <si>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</si>
  <si>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</si>
  <si>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</si>
  <si>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</si>
  <si>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</si>
  <si>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</si>
  <si>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</si>
  <si>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</si>
  <si>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</si>
  <si>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</si>
  <si>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</si>
  <si>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</si>
  <si>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</si>
  <si>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</si>
  <si>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</si>
  <si>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</si>
  <si>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</si>
  <si>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</si>
  <si>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</si>
  <si>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</si>
  <si>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</si>
  <si>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</si>
  <si>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</si>
  <si>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</si>
  <si>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</si>
  <si>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</si>
  <si>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</si>
  <si>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</si>
  <si>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</si>
  <si>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</si>
  <si>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</si>
  <si>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</si>
  <si>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</si>
  <si>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</si>
  <si>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</si>
  <si>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</si>
  <si>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</si>
  <si>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</si>
  <si>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</si>
  <si>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</si>
  <si>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</si>
  <si>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</si>
  <si>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</si>
  <si>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</si>
  <si>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</si>
  <si>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</si>
  <si>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</si>
  <si>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</si>
  <si>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</si>
  <si>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</si>
  <si>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</si>
  <si>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</si>
  <si>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</si>
  <si>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</si>
  <si>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</si>
  <si>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</si>
  <si>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</si>
  <si>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</si>
  <si>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</si>
  <si>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</si>
  <si>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</si>
  <si>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</si>
  <si>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</si>
  <si>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</si>
  <si>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</si>
  <si>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</si>
  <si>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</si>
  <si>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</si>
  <si>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</si>
  <si>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</si>
  <si>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</si>
  <si>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</si>
  <si>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</si>
  <si>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</si>
  <si>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</si>
  <si>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</si>
  <si>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</si>
  <si>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</si>
  <si>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</si>
  <si>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</si>
  <si>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</si>
  <si>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</si>
  <si>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</si>
  <si>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</si>
  <si>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</si>
  <si>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</si>
  <si>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</si>
  <si>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</si>
  <si>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</si>
  <si>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</si>
  <si>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</si>
  <si>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</si>
  <si>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</si>
  <si>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</si>
  <si>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</si>
  <si>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</si>
  <si>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</si>
  <si>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</si>
  <si>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</si>
  <si>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</si>
  <si>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</si>
  <si>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</si>
  <si>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</si>
  <si>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</si>
  <si>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</si>
  <si>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</si>
  <si>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</si>
  <si>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</si>
  <si>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</si>
  <si>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</si>
  <si>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</si>
  <si>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</si>
  <si>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</si>
  <si>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</si>
  <si>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</si>
  <si>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</si>
  <si>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</si>
  <si>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</si>
  <si>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</si>
  <si>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</si>
  <si>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</si>
  <si>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</si>
  <si>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</si>
  <si>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</si>
  <si>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</si>
  <si>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</si>
  <si>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</si>
  <si>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</si>
  <si>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</si>
  <si>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</si>
  <si>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</si>
  <si>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</si>
  <si>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</si>
  <si>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</si>
  <si>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</si>
  <si>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</si>
  <si>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</si>
  <si>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</si>
  <si>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</si>
  <si>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</si>
  <si>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</si>
  <si>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</si>
  <si>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</si>
  <si>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</si>
  <si>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</si>
  <si>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</si>
  <si>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</si>
  <si>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</si>
  <si>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</si>
  <si>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</si>
  <si>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</si>
  <si>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</si>
  <si>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</si>
  <si>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</si>
  <si>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</si>
  <si>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</si>
  <si>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</si>
  <si>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</si>
  <si>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</si>
  <si>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</si>
  <si>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</si>
  <si>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</si>
  <si>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</si>
  <si>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</si>
  <si>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</si>
  <si>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</si>
  <si>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</si>
  <si>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</si>
  <si>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</si>
  <si>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</si>
  <si>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</si>
  <si>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</si>
  <si>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</si>
  <si>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</si>
  <si>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</si>
  <si>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</si>
  <si>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</si>
  <si>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</si>
  <si>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</si>
  <si>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</si>
  <si>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</si>
  <si>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</si>
  <si>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</si>
  <si>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</si>
  <si>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</si>
  <si>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</si>
  <si>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</si>
  <si>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</si>
  <si>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</si>
  <si>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</si>
  <si>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</si>
  <si>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</si>
  <si>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</si>
  <si>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</si>
  <si>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</si>
  <si>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</si>
  <si>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</si>
  <si>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</si>
  <si>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</si>
  <si>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</si>
  <si>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</si>
  <si>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</si>
  <si>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</si>
  <si>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</si>
  <si>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</si>
  <si>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</si>
  <si>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</si>
  <si>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</si>
  <si>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</si>
  <si>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</si>
  <si>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</si>
  <si>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</si>
  <si>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</si>
  <si>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โครงการพัฒนาพื้นที่สูงแบบโครงการหลวงห้วยเขย่ง</t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</si>
  <si>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</si>
  <si>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</si>
  <si>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</si>
  <si>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ฉะเชิงเทรา</t>
  </si>
  <si>
    <t>(5) โครงการที่ดินพระราชทาน</t>
  </si>
  <si>
    <t xml:space="preserve">(6) โครงการพัชรสุธาคชานุรักษ์ 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</si>
  <si>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</si>
  <si>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</si>
  <si>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</si>
  <si>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</si>
  <si>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</si>
  <si>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</si>
  <si>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</si>
  <si>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</si>
  <si>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</si>
  <si>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</si>
  <si>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</si>
  <si>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</si>
  <si>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</si>
  <si>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</si>
  <si>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</si>
  <si>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</si>
  <si>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</si>
  <si>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</si>
  <si>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</si>
  <si>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</si>
  <si>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</si>
  <si>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</si>
  <si>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15 ธันวาคม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</si>
</sst>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FF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71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189" fontId="4" fillId="9" borderId="11" xfId="0" applyNumberFormat="1" applyFont="1" applyFill="1" applyBorder="1" applyAlignment="1"/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4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3" borderId="9" xfId="0" applyNumberFormat="1" applyFont="1" applyFill="1" applyBorder="1" applyAlignment="1"/>
    <xf numFmtId="187" fontId="30" fillId="23" borderId="10" xfId="0" applyNumberFormat="1" applyFont="1" applyFill="1" applyBorder="1" applyAlignment="1"/>
    <xf numFmtId="0" fontId="31" fillId="23" borderId="10" xfId="0" applyFont="1" applyFill="1" applyBorder="1" applyAlignment="1"/>
    <xf numFmtId="0" fontId="30" fillId="23" borderId="10" xfId="0" applyFont="1" applyFill="1" applyBorder="1" applyAlignment="1"/>
    <xf numFmtId="0" fontId="30" fillId="23" borderId="11" xfId="0" applyFont="1" applyFill="1" applyBorder="1" applyAlignment="1"/>
    <xf numFmtId="0" fontId="32" fillId="23" borderId="11" xfId="0" applyFont="1" applyFill="1" applyBorder="1" applyAlignment="1">
      <alignment horizontal="center" wrapText="1"/>
    </xf>
    <xf numFmtId="189" fontId="32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188" fontId="33" fillId="23" borderId="11" xfId="0" applyNumberFormat="1" applyFont="1" applyFill="1" applyBorder="1" applyAlignment="1"/>
    <xf numFmtId="0" fontId="34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5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33" fillId="0" borderId="14" xfId="0" applyNumberFormat="1" applyFont="1" applyBorder="1" applyAlignment="1"/>
    <xf numFmtId="188" fontId="33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33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6" fillId="2" borderId="10" xfId="0" applyFont="1" applyFill="1" applyBorder="1" applyAlignment="1"/>
    <xf numFmtId="0" fontId="30" fillId="2" borderId="11" xfId="0" applyFont="1" applyFill="1" applyBorder="1" applyAlignment="1"/>
    <xf numFmtId="187" fontId="33" fillId="0" borderId="11" xfId="0" applyNumberFormat="1" applyFont="1" applyBorder="1" applyAlignment="1">
      <alignment horizontal="center" wrapText="1"/>
    </xf>
    <xf numFmtId="189" fontId="33" fillId="0" borderId="11" xfId="0" applyNumberFormat="1" applyFont="1" applyBorder="1" applyAlignment="1"/>
    <xf numFmtId="188" fontId="33" fillId="0" borderId="11" xfId="0" applyNumberFormat="1" applyFont="1" applyBorder="1" applyAlignment="1"/>
    <xf numFmtId="188" fontId="33" fillId="2" borderId="11" xfId="0" applyNumberFormat="1" applyFont="1" applyFill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6" fillId="2" borderId="10" xfId="0" applyFont="1" applyFill="1" applyBorder="1" applyAlignment="1"/>
    <xf numFmtId="189" fontId="33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7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33" fillId="0" borderId="11" xfId="0" applyFont="1" applyBorder="1" applyAlignment="1"/>
    <xf numFmtId="0" fontId="36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33" fillId="0" borderId="11" xfId="0" applyFont="1" applyBorder="1" applyAlignment="1">
      <alignment horizontal="center"/>
    </xf>
    <xf numFmtId="187" fontId="36" fillId="0" borderId="10" xfId="0" quotePrefix="1" applyNumberFormat="1" applyFont="1" applyBorder="1" applyAlignment="1"/>
    <xf numFmtId="0" fontId="36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8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9" fillId="2" borderId="13" xfId="0" quotePrefix="1" applyFont="1" applyFill="1" applyBorder="1" applyAlignment="1"/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0" fontId="17" fillId="0" borderId="10" xfId="0" quotePrefix="1" applyFont="1" applyBorder="1" applyAlignment="1"/>
    <xf numFmtId="0" fontId="33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40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189" fontId="4" fillId="26" borderId="11" xfId="0" applyNumberFormat="1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1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1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2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3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4" fillId="0" borderId="9" xfId="0" applyNumberFormat="1" applyFont="1" applyBorder="1" applyAlignment="1"/>
    <xf numFmtId="187" fontId="45" fillId="8" borderId="9" xfId="0" applyNumberFormat="1" applyFont="1" applyFill="1" applyBorder="1" applyAlignment="1"/>
    <xf numFmtId="187" fontId="45" fillId="8" borderId="10" xfId="0" applyNumberFormat="1" applyFont="1" applyFill="1" applyBorder="1" applyAlignment="1"/>
    <xf numFmtId="0" fontId="46" fillId="8" borderId="10" xfId="0" applyFont="1" applyFill="1" applyBorder="1" applyAlignment="1"/>
    <xf numFmtId="0" fontId="47" fillId="8" borderId="10" xfId="0" applyFont="1" applyFill="1" applyBorder="1" applyAlignment="1"/>
    <xf numFmtId="0" fontId="45" fillId="8" borderId="10" xfId="0" applyFont="1" applyFill="1" applyBorder="1" applyAlignment="1"/>
    <xf numFmtId="0" fontId="45" fillId="8" borderId="11" xfId="0" applyFont="1" applyFill="1" applyBorder="1" applyAlignment="1"/>
    <xf numFmtId="0" fontId="48" fillId="8" borderId="11" xfId="0" applyFont="1" applyFill="1" applyBorder="1" applyAlignment="1">
      <alignment horizontal="center"/>
    </xf>
    <xf numFmtId="189" fontId="48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188" fontId="49" fillId="8" borderId="11" xfId="0" applyNumberFormat="1" applyFont="1" applyFill="1" applyBorder="1" applyAlignment="1"/>
    <xf numFmtId="0" fontId="50" fillId="0" borderId="0" xfId="0" applyFont="1"/>
    <xf numFmtId="187" fontId="45" fillId="30" borderId="9" xfId="0" applyNumberFormat="1" applyFont="1" applyFill="1" applyBorder="1" applyAlignment="1"/>
    <xf numFmtId="187" fontId="45" fillId="30" borderId="10" xfId="0" applyNumberFormat="1" applyFont="1" applyFill="1" applyBorder="1" applyAlignment="1"/>
    <xf numFmtId="0" fontId="46" fillId="30" borderId="10" xfId="0" applyFont="1" applyFill="1" applyBorder="1" applyAlignment="1"/>
    <xf numFmtId="0" fontId="46" fillId="30" borderId="10" xfId="0" applyFont="1" applyFill="1" applyBorder="1" applyAlignment="1"/>
    <xf numFmtId="0" fontId="45" fillId="30" borderId="10" xfId="0" applyFont="1" applyFill="1" applyBorder="1" applyAlignment="1"/>
    <xf numFmtId="0" fontId="45" fillId="30" borderId="11" xfId="0" applyFont="1" applyFill="1" applyBorder="1" applyAlignment="1"/>
    <xf numFmtId="0" fontId="48" fillId="30" borderId="11" xfId="0" applyFont="1" applyFill="1" applyBorder="1" applyAlignment="1">
      <alignment horizontal="center"/>
    </xf>
    <xf numFmtId="189" fontId="48" fillId="30" borderId="11" xfId="0" applyNumberFormat="1" applyFont="1" applyFill="1" applyBorder="1" applyAlignment="1"/>
    <xf numFmtId="189" fontId="48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188" fontId="49" fillId="30" borderId="11" xfId="0" applyNumberFormat="1" applyFont="1" applyFill="1" applyBorder="1" applyAlignment="1"/>
    <xf numFmtId="0" fontId="51" fillId="30" borderId="10" xfId="0" applyFont="1" applyFill="1" applyBorder="1" applyAlignment="1"/>
    <xf numFmtId="0" fontId="49" fillId="30" borderId="11" xfId="0" applyFont="1" applyFill="1" applyBorder="1" applyAlignment="1"/>
    <xf numFmtId="189" fontId="49" fillId="30" borderId="11" xfId="0" applyNumberFormat="1" applyFont="1" applyFill="1" applyBorder="1" applyAlignment="1"/>
    <xf numFmtId="41" fontId="48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1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1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188" fontId="6" fillId="9" borderId="8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5" fillId="14" borderId="13" xfId="0" applyFont="1" applyFill="1" applyBorder="1" applyAlignment="1"/>
    <xf numFmtId="188" fontId="6" fillId="14" borderId="14" xfId="0" applyNumberFormat="1" applyFont="1" applyFill="1" applyBorder="1" applyAlignment="1"/>
    <xf numFmtId="0" fontId="5" fillId="18" borderId="13" xfId="0" applyFont="1" applyFill="1" applyBorder="1" applyAlignment="1"/>
    <xf numFmtId="188" fontId="6" fillId="18" borderId="14" xfId="0" applyNumberFormat="1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3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0" fillId="21" borderId="10" xfId="0" applyNumberFormat="1" applyFont="1" applyFill="1" applyBorder="1" applyAlignment="1"/>
    <xf numFmtId="0" fontId="55" fillId="2" borderId="10" xfId="0" applyFont="1" applyFill="1" applyBorder="1" applyAlignment="1"/>
    <xf numFmtId="0" fontId="3" fillId="0" borderId="10" xfId="0" applyFont="1" applyBorder="1"/>
    <xf numFmtId="0" fontId="65" fillId="2" borderId="13" xfId="0" applyFont="1" applyFill="1" applyBorder="1" applyAlignment="1"/>
    <xf numFmtId="0" fontId="3" fillId="0" borderId="13" xfId="0" applyFont="1" applyBorder="1"/>
    <xf numFmtId="0" fontId="72" fillId="2" borderId="10" xfId="0" applyFont="1" applyFill="1" applyBorder="1" applyAlignment="1"/>
    <xf numFmtId="0" fontId="60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3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61" fillId="2" borderId="10" xfId="0" applyFont="1" applyFill="1" applyBorder="1" applyAlignment="1"/>
    <xf numFmtId="0" fontId="5" fillId="2" borderId="13" xfId="0" applyFont="1" applyFill="1" applyBorder="1" applyAlignment="1"/>
    <xf numFmtId="0" fontId="55" fillId="2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6.85546875" bestFit="1" customWidth="1"/>
    <col min="11" max="11" width="12.5703125" customWidth="1"/>
    <col min="12" max="14" width="23" bestFit="1" customWidth="1"/>
    <col min="15" max="15" width="20.140625" bestFit="1" customWidth="1"/>
    <col min="16" max="16" width="22" bestFit="1" customWidth="1"/>
  </cols>
  <sheetData>
    <row r="1" spans="1:26" ht="20.25" customHeight="1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20.25" customHeight="1">
      <c r="A2" s="859" t="s">
        <v>1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20.25" customHeight="1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20.25" customHeight="1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91753434</v>
      </c>
      <c r="M8" s="21">
        <f t="shared" ca="1" si="0"/>
        <v>39814148</v>
      </c>
      <c r="N8" s="21">
        <f t="shared" ca="1" si="0"/>
        <v>19475370.989999998</v>
      </c>
      <c r="O8" s="21">
        <f t="shared" ref="O8:O16" ca="1" si="1">IF(L8&gt;0,N8*100/L8,0)</f>
        <v>21.22576795327355</v>
      </c>
      <c r="P8" s="21">
        <f t="shared" ref="P8:P16" ca="1" si="2">IF(M8&gt;0,N8*100/M8,0)</f>
        <v>48.915704512878179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0.25" hidden="1" customHeight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9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20.25" hidden="1" customHeight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ref="L10:N10" ca="1" si="4">L13+L16</f>
        <v>91753434</v>
      </c>
      <c r="M10" s="29">
        <f t="shared" ca="1" si="4"/>
        <v>39814148</v>
      </c>
      <c r="N10" s="29">
        <f t="shared" ca="1" si="4"/>
        <v>19475370.989999998</v>
      </c>
      <c r="O10" s="29">
        <f t="shared" ca="1" si="1"/>
        <v>21.22576795327355</v>
      </c>
      <c r="P10" s="29">
        <f t="shared" ca="1" si="2"/>
        <v>48.915704512878179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0.25" customHeight="1">
      <c r="A11" s="31"/>
      <c r="B11" s="32"/>
      <c r="C11" s="32"/>
      <c r="D11" s="33" t="s">
        <v>20</v>
      </c>
      <c r="E11" s="32"/>
      <c r="F11" s="32"/>
      <c r="G11" s="34"/>
      <c r="H11" s="35" t="s">
        <v>12</v>
      </c>
      <c r="I11" s="36"/>
      <c r="J11" s="36"/>
      <c r="K11" s="37"/>
      <c r="L11" s="37">
        <f t="shared" ref="L11:N11" ca="1" si="5">L12+L13</f>
        <v>81774234</v>
      </c>
      <c r="M11" s="37">
        <f t="shared" ca="1" si="5"/>
        <v>29895308</v>
      </c>
      <c r="N11" s="37">
        <f t="shared" ca="1" si="5"/>
        <v>12554630.989999998</v>
      </c>
      <c r="O11" s="37">
        <f t="shared" ca="1" si="1"/>
        <v>15.352795588400127</v>
      </c>
      <c r="P11" s="37">
        <f t="shared" ca="1" si="2"/>
        <v>41.995322443240916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0.25" hidden="1" customHeight="1">
      <c r="A12" s="38"/>
      <c r="B12" s="39"/>
      <c r="C12" s="39"/>
      <c r="D12" s="39"/>
      <c r="E12" s="40" t="s">
        <v>18</v>
      </c>
      <c r="F12" s="39"/>
      <c r="G12" s="41"/>
      <c r="H12" s="42" t="s">
        <v>12</v>
      </c>
      <c r="I12" s="43"/>
      <c r="J12" s="43"/>
      <c r="K12" s="44"/>
      <c r="L12" s="44">
        <f t="shared" ref="L12:N12" si="6">L22+L32</f>
        <v>0</v>
      </c>
      <c r="M12" s="44">
        <f t="shared" si="6"/>
        <v>0</v>
      </c>
      <c r="N12" s="44">
        <f t="shared" si="6"/>
        <v>0</v>
      </c>
      <c r="O12" s="44">
        <f t="shared" si="1"/>
        <v>0</v>
      </c>
      <c r="P12" s="44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0.25" hidden="1" customHeight="1">
      <c r="A13" s="38"/>
      <c r="B13" s="39"/>
      <c r="C13" s="39"/>
      <c r="D13" s="39"/>
      <c r="E13" s="40" t="s">
        <v>19</v>
      </c>
      <c r="F13" s="39"/>
      <c r="G13" s="41"/>
      <c r="H13" s="42" t="s">
        <v>12</v>
      </c>
      <c r="I13" s="43"/>
      <c r="J13" s="43"/>
      <c r="K13" s="44"/>
      <c r="L13" s="44">
        <f t="shared" ref="L13:N13" ca="1" si="7">L23+L33</f>
        <v>81774234</v>
      </c>
      <c r="M13" s="44">
        <f t="shared" ca="1" si="7"/>
        <v>29895308</v>
      </c>
      <c r="N13" s="44">
        <f t="shared" ca="1" si="7"/>
        <v>12554630.989999998</v>
      </c>
      <c r="O13" s="44">
        <f t="shared" ca="1" si="1"/>
        <v>15.352795588400127</v>
      </c>
      <c r="P13" s="44">
        <f t="shared" ca="1" si="2"/>
        <v>41.995322443240916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0.25" customHeight="1">
      <c r="A14" s="31"/>
      <c r="B14" s="32"/>
      <c r="C14" s="32"/>
      <c r="D14" s="33" t="s">
        <v>21</v>
      </c>
      <c r="E14" s="32"/>
      <c r="F14" s="32"/>
      <c r="G14" s="34"/>
      <c r="H14" s="35" t="s">
        <v>12</v>
      </c>
      <c r="I14" s="36"/>
      <c r="J14" s="36"/>
      <c r="K14" s="37"/>
      <c r="L14" s="37">
        <f t="shared" ref="L14:N14" ca="1" si="8">L15+L16</f>
        <v>9979200</v>
      </c>
      <c r="M14" s="37">
        <f t="shared" ca="1" si="8"/>
        <v>9918840</v>
      </c>
      <c r="N14" s="37">
        <f t="shared" ca="1" si="8"/>
        <v>6920740</v>
      </c>
      <c r="O14" s="37">
        <f t="shared" ca="1" si="1"/>
        <v>69.351651434984774</v>
      </c>
      <c r="P14" s="37">
        <f t="shared" ca="1" si="2"/>
        <v>69.773683212956357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0.25" hidden="1" customHeight="1">
      <c r="A15" s="38"/>
      <c r="B15" s="39"/>
      <c r="C15" s="39"/>
      <c r="D15" s="39"/>
      <c r="E15" s="40" t="s">
        <v>18</v>
      </c>
      <c r="F15" s="39"/>
      <c r="G15" s="41"/>
      <c r="H15" s="42" t="s">
        <v>12</v>
      </c>
      <c r="I15" s="43"/>
      <c r="J15" s="43"/>
      <c r="K15" s="44"/>
      <c r="L15" s="44">
        <f t="shared" ref="L15:N15" si="9">L25+L35</f>
        <v>0</v>
      </c>
      <c r="M15" s="44">
        <f t="shared" si="9"/>
        <v>0</v>
      </c>
      <c r="N15" s="44">
        <f t="shared" si="9"/>
        <v>0</v>
      </c>
      <c r="O15" s="44">
        <f t="shared" si="1"/>
        <v>0</v>
      </c>
      <c r="P15" s="44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0.25" hidden="1" customHeight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ref="L16:N16" ca="1" si="10">L26+L36</f>
        <v>9979200</v>
      </c>
      <c r="M16" s="51">
        <f t="shared" ca="1" si="10"/>
        <v>9918840</v>
      </c>
      <c r="N16" s="51">
        <f t="shared" ca="1" si="10"/>
        <v>6920740</v>
      </c>
      <c r="O16" s="51">
        <f t="shared" ca="1" si="1"/>
        <v>69.351651434984774</v>
      </c>
      <c r="P16" s="51">
        <f t="shared" ca="1" si="2"/>
        <v>69.773683212956357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20.25" customHeight="1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11">L19+L20</f>
        <v>69710033</v>
      </c>
      <c r="M18" s="21">
        <f t="shared" ca="1" si="11"/>
        <v>39814148</v>
      </c>
      <c r="N18" s="21">
        <f t="shared" ca="1" si="11"/>
        <v>19021846.039999999</v>
      </c>
      <c r="O18" s="21">
        <f t="shared" ref="O18:O26" ca="1" si="12">IF(L18&gt;0,N18*100/L18,0)</f>
        <v>27.287099462426017</v>
      </c>
      <c r="P18" s="21">
        <f t="shared" ref="P18:P26" ca="1" si="13">IF(M18&gt;0,N18*100/M18,0)</f>
        <v>47.776599514323401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0.25" hidden="1" customHeight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19" si="14">L22+L25</f>
        <v>0</v>
      </c>
      <c r="M19" s="29">
        <f t="shared" si="14"/>
        <v>0</v>
      </c>
      <c r="N19" s="29">
        <f t="shared" si="14"/>
        <v>0</v>
      </c>
      <c r="O19" s="29">
        <f t="shared" si="12"/>
        <v>0</v>
      </c>
      <c r="P19" s="29">
        <f t="shared" si="13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0.25" hidden="1" customHeight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ref="L20:N20" ca="1" si="15">L23+L26</f>
        <v>69710033</v>
      </c>
      <c r="M20" s="29">
        <f t="shared" ca="1" si="15"/>
        <v>39814148</v>
      </c>
      <c r="N20" s="29">
        <f t="shared" ca="1" si="15"/>
        <v>19021846.039999999</v>
      </c>
      <c r="O20" s="29">
        <f t="shared" ca="1" si="12"/>
        <v>27.287099462426017</v>
      </c>
      <c r="P20" s="29">
        <f t="shared" ca="1" si="13"/>
        <v>47.776599514323401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0.25" customHeight="1">
      <c r="A21" s="31"/>
      <c r="B21" s="32"/>
      <c r="C21" s="32"/>
      <c r="D21" s="33" t="s">
        <v>20</v>
      </c>
      <c r="E21" s="32"/>
      <c r="F21" s="32"/>
      <c r="G21" s="34"/>
      <c r="H21" s="35" t="s">
        <v>12</v>
      </c>
      <c r="I21" s="36"/>
      <c r="J21" s="36"/>
      <c r="K21" s="37"/>
      <c r="L21" s="37">
        <f t="shared" ref="L21:N21" ca="1" si="16">L22+L23</f>
        <v>59730833</v>
      </c>
      <c r="M21" s="37">
        <f t="shared" ca="1" si="16"/>
        <v>29895308</v>
      </c>
      <c r="N21" s="37">
        <f t="shared" ca="1" si="16"/>
        <v>12101106.039999999</v>
      </c>
      <c r="O21" s="37">
        <f t="shared" ca="1" si="12"/>
        <v>20.259396081082613</v>
      </c>
      <c r="P21" s="37">
        <f t="shared" ca="1" si="13"/>
        <v>40.478278531199614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0.25" hidden="1" customHeight="1">
      <c r="A22" s="38"/>
      <c r="B22" s="39"/>
      <c r="C22" s="39"/>
      <c r="D22" s="39"/>
      <c r="E22" s="40" t="s">
        <v>18</v>
      </c>
      <c r="F22" s="39"/>
      <c r="G22" s="41"/>
      <c r="H22" s="42" t="s">
        <v>12</v>
      </c>
      <c r="I22" s="43"/>
      <c r="J22" s="43"/>
      <c r="K22" s="44"/>
      <c r="L22" s="44">
        <f t="shared" ref="L22:N22" si="17">L45+L57+L70+L92+L123+L136+L153+L185+L169+L265+L281+L302+L319+L332+L349+L393+L406</f>
        <v>0</v>
      </c>
      <c r="M22" s="44">
        <f t="shared" si="17"/>
        <v>0</v>
      </c>
      <c r="N22" s="44">
        <f t="shared" si="17"/>
        <v>0</v>
      </c>
      <c r="O22" s="44">
        <f t="shared" si="12"/>
        <v>0</v>
      </c>
      <c r="P22" s="44">
        <f t="shared" si="13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0.25" hidden="1" customHeight="1">
      <c r="A23" s="38"/>
      <c r="B23" s="39"/>
      <c r="C23" s="39"/>
      <c r="D23" s="39"/>
      <c r="E23" s="40" t="s">
        <v>19</v>
      </c>
      <c r="F23" s="39"/>
      <c r="G23" s="41"/>
      <c r="H23" s="42" t="s">
        <v>12</v>
      </c>
      <c r="I23" s="43"/>
      <c r="J23" s="43"/>
      <c r="K23" s="44"/>
      <c r="L23" s="44">
        <f t="shared" ref="L23:N23" ca="1" si="18">L46+L58+L71+L93+L124+L137+L154+L186+L170+L266+L282+L303+L320+L333+L350+L394+L407</f>
        <v>59730833</v>
      </c>
      <c r="M23" s="44">
        <f t="shared" ca="1" si="18"/>
        <v>29895308</v>
      </c>
      <c r="N23" s="44">
        <f t="shared" ca="1" si="18"/>
        <v>12101106.039999999</v>
      </c>
      <c r="O23" s="44">
        <f t="shared" ca="1" si="12"/>
        <v>20.259396081082613</v>
      </c>
      <c r="P23" s="44">
        <f t="shared" ca="1" si="13"/>
        <v>40.478278531199614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0.25" customHeight="1">
      <c r="A24" s="31"/>
      <c r="B24" s="32"/>
      <c r="C24" s="32"/>
      <c r="D24" s="33" t="s">
        <v>21</v>
      </c>
      <c r="E24" s="32"/>
      <c r="F24" s="32"/>
      <c r="G24" s="34"/>
      <c r="H24" s="35" t="s">
        <v>12</v>
      </c>
      <c r="I24" s="36"/>
      <c r="J24" s="36"/>
      <c r="K24" s="37"/>
      <c r="L24" s="37">
        <f t="shared" ref="L24:N24" ca="1" si="19">L25+L26</f>
        <v>9979200</v>
      </c>
      <c r="M24" s="37">
        <f t="shared" ca="1" si="19"/>
        <v>9918840</v>
      </c>
      <c r="N24" s="37">
        <f t="shared" ca="1" si="19"/>
        <v>6920740</v>
      </c>
      <c r="O24" s="37">
        <f t="shared" ca="1" si="12"/>
        <v>69.351651434984774</v>
      </c>
      <c r="P24" s="37">
        <f t="shared" ca="1" si="13"/>
        <v>69.773683212956357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0.25" hidden="1" customHeight="1">
      <c r="A25" s="38"/>
      <c r="B25" s="39"/>
      <c r="C25" s="39"/>
      <c r="D25" s="39"/>
      <c r="E25" s="40" t="s">
        <v>18</v>
      </c>
      <c r="F25" s="39"/>
      <c r="G25" s="41"/>
      <c r="H25" s="42" t="s">
        <v>12</v>
      </c>
      <c r="I25" s="43"/>
      <c r="J25" s="43"/>
      <c r="K25" s="44"/>
      <c r="L25" s="44">
        <f t="shared" ref="L25:L26" si="20">L48+L60+L73+L95+L126+L139+L156+L188+L172+L268+L284+L305+L322+L335+L352+L396+L409</f>
        <v>0</v>
      </c>
      <c r="M25" s="44">
        <f>M48+M60+M73+M95+M126+M139+M156+M188+M172+M268+M284+M305+M462+M335+M352+M396+M409</f>
        <v>0</v>
      </c>
      <c r="N25" s="44">
        <f>N48+N60+N73+N95+N126+N139+N156+N188+N172+N268+N284+N305+N322+N335+N352+N396+N409</f>
        <v>0</v>
      </c>
      <c r="O25" s="44">
        <f t="shared" si="12"/>
        <v>0</v>
      </c>
      <c r="P25" s="44">
        <f t="shared" si="13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20.25" hidden="1" customHeight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20"/>
        <v>9979200</v>
      </c>
      <c r="M26" s="51">
        <f t="shared" ref="M26:N26" ca="1" si="21">M49+M61+M74+M96+M127+M140+M157+M189+M173+M269+M285+M306+M323+M336+M353+M397+M410</f>
        <v>9918840</v>
      </c>
      <c r="N26" s="51">
        <f t="shared" ca="1" si="21"/>
        <v>6920740</v>
      </c>
      <c r="O26" s="51">
        <f t="shared" ca="1" si="12"/>
        <v>69.351651434984774</v>
      </c>
      <c r="P26" s="51">
        <f t="shared" ca="1" si="13"/>
        <v>69.773683212956357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0.25" customHeight="1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22">L29+L30</f>
        <v>22043401</v>
      </c>
      <c r="M28" s="21">
        <f t="shared" si="22"/>
        <v>0</v>
      </c>
      <c r="N28" s="21">
        <f t="shared" ca="1" si="22"/>
        <v>453524.94999999995</v>
      </c>
      <c r="O28" s="21">
        <f t="shared" ref="O28:O37" ca="1" si="23">IF(L28&gt;0,N28*100/L28,0)</f>
        <v>2.0574182268879468</v>
      </c>
      <c r="P28" s="21">
        <f t="shared" ref="P28:P31" si="24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0.25" hidden="1" customHeight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29" si="25">L32+L35</f>
        <v>0</v>
      </c>
      <c r="M29" s="29">
        <f t="shared" si="25"/>
        <v>0</v>
      </c>
      <c r="N29" s="29">
        <f t="shared" si="25"/>
        <v>0</v>
      </c>
      <c r="O29" s="29">
        <f t="shared" si="23"/>
        <v>0</v>
      </c>
      <c r="P29" s="29">
        <f t="shared" si="24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20.25" hidden="1" customHeight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ref="L30:N30" ca="1" si="26">L33+L36</f>
        <v>22043401</v>
      </c>
      <c r="M30" s="29">
        <f t="shared" si="26"/>
        <v>0</v>
      </c>
      <c r="N30" s="29">
        <f t="shared" ca="1" si="26"/>
        <v>453524.94999999995</v>
      </c>
      <c r="O30" s="29">
        <f t="shared" ca="1" si="23"/>
        <v>2.0574182268879468</v>
      </c>
      <c r="P30" s="29">
        <f t="shared" si="24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20.25" customHeight="1">
      <c r="A31" s="31"/>
      <c r="B31" s="32"/>
      <c r="C31" s="32"/>
      <c r="D31" s="33" t="s">
        <v>20</v>
      </c>
      <c r="E31" s="32"/>
      <c r="F31" s="32"/>
      <c r="G31" s="34"/>
      <c r="H31" s="35" t="s">
        <v>12</v>
      </c>
      <c r="I31" s="36"/>
      <c r="J31" s="36"/>
      <c r="K31" s="37"/>
      <c r="L31" s="37">
        <f t="shared" ref="L31:N31" ca="1" si="27">L32+L33</f>
        <v>22043401</v>
      </c>
      <c r="M31" s="37">
        <f t="shared" si="27"/>
        <v>0</v>
      </c>
      <c r="N31" s="37">
        <f t="shared" ca="1" si="27"/>
        <v>453524.94999999995</v>
      </c>
      <c r="O31" s="37">
        <f t="shared" ca="1" si="23"/>
        <v>2.0574182268879468</v>
      </c>
      <c r="P31" s="37">
        <f t="shared" si="24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0.25" hidden="1" customHeight="1">
      <c r="A32" s="38"/>
      <c r="B32" s="39"/>
      <c r="C32" s="39"/>
      <c r="D32" s="39"/>
      <c r="E32" s="40" t="s">
        <v>18</v>
      </c>
      <c r="F32" s="39"/>
      <c r="G32" s="41"/>
      <c r="H32" s="42" t="s">
        <v>12</v>
      </c>
      <c r="I32" s="43"/>
      <c r="J32" s="43"/>
      <c r="K32" s="44"/>
      <c r="L32" s="44">
        <f t="shared" ref="L32:N32" si="28">L423+L448+L471+L506+L527+L548+L633+L659+L689+L741+L758+L774+L790+L809</f>
        <v>0</v>
      </c>
      <c r="M32" s="44">
        <f t="shared" si="28"/>
        <v>0</v>
      </c>
      <c r="N32" s="44">
        <f t="shared" si="28"/>
        <v>0</v>
      </c>
      <c r="O32" s="44">
        <f t="shared" si="23"/>
        <v>0</v>
      </c>
      <c r="P32" s="44">
        <f ca="1">IF(M46&gt;0,N32*100/M46,0)</f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20.25" hidden="1" customHeight="1">
      <c r="A33" s="38"/>
      <c r="B33" s="39"/>
      <c r="C33" s="39"/>
      <c r="D33" s="39"/>
      <c r="E33" s="40" t="s">
        <v>19</v>
      </c>
      <c r="F33" s="39"/>
      <c r="G33" s="41"/>
      <c r="H33" s="42" t="s">
        <v>12</v>
      </c>
      <c r="I33" s="43"/>
      <c r="J33" s="43"/>
      <c r="K33" s="44"/>
      <c r="L33" s="44">
        <f t="shared" ref="L33:N33" ca="1" si="29">L424+L449+L472+L507+L528+L549+L634+L660+L690+L742+L759+L775+L791+L810</f>
        <v>22043401</v>
      </c>
      <c r="M33" s="44">
        <f t="shared" si="29"/>
        <v>0</v>
      </c>
      <c r="N33" s="44">
        <f t="shared" ca="1" si="29"/>
        <v>453524.94999999995</v>
      </c>
      <c r="O33" s="44">
        <f t="shared" ca="1" si="23"/>
        <v>2.0574182268879468</v>
      </c>
      <c r="P33" s="44">
        <f t="shared" ref="P33:P37" si="30">IF(M33&gt;0,N33*100/M33,0)</f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0.25" customHeight="1">
      <c r="A34" s="31"/>
      <c r="B34" s="32"/>
      <c r="C34" s="32"/>
      <c r="D34" s="33" t="s">
        <v>21</v>
      </c>
      <c r="E34" s="32"/>
      <c r="F34" s="32"/>
      <c r="G34" s="34"/>
      <c r="H34" s="35" t="s">
        <v>12</v>
      </c>
      <c r="I34" s="36"/>
      <c r="J34" s="36"/>
      <c r="K34" s="37"/>
      <c r="L34" s="37">
        <f t="shared" ref="L34:N34" ca="1" si="31">L35+L36</f>
        <v>0</v>
      </c>
      <c r="M34" s="37">
        <f t="shared" si="31"/>
        <v>0</v>
      </c>
      <c r="N34" s="37">
        <f t="shared" si="31"/>
        <v>0</v>
      </c>
      <c r="O34" s="37">
        <f t="shared" ca="1" si="23"/>
        <v>0</v>
      </c>
      <c r="P34" s="37">
        <f t="shared" si="30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0.25" hidden="1" customHeight="1">
      <c r="A35" s="38"/>
      <c r="B35" s="39"/>
      <c r="C35" s="39"/>
      <c r="D35" s="39"/>
      <c r="E35" s="40" t="s">
        <v>18</v>
      </c>
      <c r="F35" s="39"/>
      <c r="G35" s="41"/>
      <c r="H35" s="42" t="s">
        <v>12</v>
      </c>
      <c r="I35" s="43"/>
      <c r="J35" s="43"/>
      <c r="K35" s="44"/>
      <c r="L35" s="44">
        <f t="shared" ref="L35:N35" si="32">L430+L455+L478+L513+L534+L556+L640+L666+L696+L748+L765+L781+L797+L816</f>
        <v>0</v>
      </c>
      <c r="M35" s="44">
        <f t="shared" si="32"/>
        <v>0</v>
      </c>
      <c r="N35" s="44">
        <f t="shared" si="32"/>
        <v>0</v>
      </c>
      <c r="O35" s="44">
        <f t="shared" si="23"/>
        <v>0</v>
      </c>
      <c r="P35" s="44">
        <f t="shared" si="30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0.25" hidden="1" customHeight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ref="L36:N36" ca="1" si="33">L431+L456+L479+L514+L535+L557+L641+L667+L697+L749+L766+L782+L798+L817</f>
        <v>0</v>
      </c>
      <c r="M36" s="51">
        <f t="shared" si="33"/>
        <v>0</v>
      </c>
      <c r="N36" s="51">
        <f t="shared" si="33"/>
        <v>0</v>
      </c>
      <c r="O36" s="51">
        <f t="shared" ca="1" si="23"/>
        <v>0</v>
      </c>
      <c r="P36" s="51">
        <f t="shared" si="30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20.25" customHeight="1">
      <c r="A37" s="52" t="s">
        <v>24</v>
      </c>
      <c r="B37" s="53"/>
      <c r="C37" s="53"/>
      <c r="D37" s="53"/>
      <c r="E37" s="53"/>
      <c r="F37" s="53"/>
      <c r="G37" s="54"/>
      <c r="H37" s="55"/>
      <c r="I37" s="56"/>
      <c r="J37" s="56"/>
      <c r="K37" s="57"/>
      <c r="L37" s="57">
        <f ca="1">L41+L53+L66+L88+L119+L132+L149+L165+L181+L261+L277+L298+L315+L328+L345+L389+L402</f>
        <v>69710033</v>
      </c>
      <c r="M37" s="57">
        <f ca="1">M41+M53+M66+M88+M119+M132+M149+M165+M181+M261+M277+M298+M315+M468+M345+M389+M402</f>
        <v>34805248</v>
      </c>
      <c r="N37" s="57">
        <f ca="1">N41+N53+N66+N88+N119+N132+N149+N165+N181+N261+N277+N298+N315+N328+N345+N389+N402</f>
        <v>19021846.039999999</v>
      </c>
      <c r="O37" s="57">
        <f t="shared" ca="1" si="23"/>
        <v>27.287099462426017</v>
      </c>
      <c r="P37" s="57">
        <f t="shared" ca="1" si="30"/>
        <v>54.652235318076173</v>
      </c>
    </row>
    <row r="38" spans="1:26" ht="20.25" customHeight="1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20.25" customHeight="1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20.25" customHeight="1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20.25" customHeight="1">
      <c r="A41" s="75"/>
      <c r="B41" s="76"/>
      <c r="C41" s="77" t="s">
        <v>16</v>
      </c>
      <c r="D41" s="78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34">L42+L43</f>
        <v>8286238</v>
      </c>
      <c r="M41" s="82">
        <f t="shared" ca="1" si="34"/>
        <v>4176338</v>
      </c>
      <c r="N41" s="82">
        <f t="shared" ca="1" si="34"/>
        <v>1819070.41</v>
      </c>
      <c r="O41" s="82">
        <f t="shared" ref="O41:O45" ca="1" si="35">IF(L41&gt;0,N41*100/L41,0)</f>
        <v>21.952910476382648</v>
      </c>
      <c r="P41" s="82">
        <f t="shared" ref="P41:P49" ca="1" si="36">IF(M41&gt;0,N41*100/M41,0)</f>
        <v>43.556589768356872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0.25" hidden="1" customHeight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2" si="37">L45+L48</f>
        <v>0</v>
      </c>
      <c r="M42" s="89">
        <f t="shared" si="37"/>
        <v>0</v>
      </c>
      <c r="N42" s="89">
        <f t="shared" si="37"/>
        <v>0</v>
      </c>
      <c r="O42" s="89">
        <f t="shared" si="35"/>
        <v>0</v>
      </c>
      <c r="P42" s="89">
        <f t="shared" si="36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0.25" hidden="1" customHeight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ref="L43:N43" ca="1" si="38">L46+L49</f>
        <v>8286238</v>
      </c>
      <c r="M43" s="89">
        <f t="shared" ca="1" si="38"/>
        <v>4176338</v>
      </c>
      <c r="N43" s="89">
        <f t="shared" ca="1" si="38"/>
        <v>1819070.41</v>
      </c>
      <c r="O43" s="89">
        <f t="shared" ca="1" si="35"/>
        <v>21.952910476382648</v>
      </c>
      <c r="P43" s="89">
        <f t="shared" ca="1" si="36"/>
        <v>43.556589768356872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20.25" customHeight="1">
      <c r="A44" s="31"/>
      <c r="B44" s="32"/>
      <c r="C44" s="32"/>
      <c r="D44" s="33" t="s">
        <v>20</v>
      </c>
      <c r="E44" s="32"/>
      <c r="F44" s="32"/>
      <c r="G44" s="34"/>
      <c r="H44" s="35" t="s">
        <v>12</v>
      </c>
      <c r="I44" s="36"/>
      <c r="J44" s="36"/>
      <c r="K44" s="37"/>
      <c r="L44" s="37">
        <f t="shared" ref="L44:N44" ca="1" si="39">L45+L46</f>
        <v>8286238</v>
      </c>
      <c r="M44" s="37">
        <f t="shared" ca="1" si="39"/>
        <v>4176338</v>
      </c>
      <c r="N44" s="37">
        <f t="shared" ca="1" si="39"/>
        <v>1819070.41</v>
      </c>
      <c r="O44" s="37">
        <f t="shared" ca="1" si="35"/>
        <v>21.952910476382648</v>
      </c>
      <c r="P44" s="37">
        <f t="shared" ca="1" si="36"/>
        <v>43.556589768356872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0.25" hidden="1" customHeight="1">
      <c r="A45" s="38"/>
      <c r="B45" s="39"/>
      <c r="C45" s="39"/>
      <c r="D45" s="39"/>
      <c r="E45" s="40" t="s">
        <v>18</v>
      </c>
      <c r="F45" s="39"/>
      <c r="G45" s="41"/>
      <c r="H45" s="42" t="s">
        <v>12</v>
      </c>
      <c r="I45" s="43"/>
      <c r="J45" s="43"/>
      <c r="K45" s="44"/>
      <c r="L45" s="90">
        <v>0</v>
      </c>
      <c r="M45" s="90">
        <v>0</v>
      </c>
      <c r="N45" s="90">
        <v>0</v>
      </c>
      <c r="O45" s="44">
        <f t="shared" si="35"/>
        <v>0</v>
      </c>
      <c r="P45" s="44">
        <f t="shared" si="36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20.25" hidden="1" customHeight="1">
      <c r="A46" s="38"/>
      <c r="B46" s="39"/>
      <c r="C46" s="39"/>
      <c r="D46" s="39"/>
      <c r="E46" s="40" t="s">
        <v>19</v>
      </c>
      <c r="F46" s="39"/>
      <c r="G46" s="41"/>
      <c r="H46" s="42" t="s">
        <v>12</v>
      </c>
      <c r="I46" s="43"/>
      <c r="J46" s="43"/>
      <c r="K46" s="44"/>
      <c r="L46" s="44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4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"),4176338)</f>
        <v>4176338</v>
      </c>
      <c r="N46" s="44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"),1819070.41)</f>
        <v>1819070.41</v>
      </c>
      <c r="O46" s="44">
        <f ca="1">IF(M46&gt;0,N46*100/M46,0)</f>
        <v>43.556589768356872</v>
      </c>
      <c r="P46" s="44">
        <f t="shared" ca="1" si="36"/>
        <v>43.556589768356872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20.25" customHeight="1">
      <c r="A47" s="31"/>
      <c r="B47" s="32"/>
      <c r="C47" s="32"/>
      <c r="D47" s="33" t="s">
        <v>21</v>
      </c>
      <c r="E47" s="32"/>
      <c r="F47" s="32"/>
      <c r="G47" s="34"/>
      <c r="H47" s="35" t="s">
        <v>12</v>
      </c>
      <c r="I47" s="36"/>
      <c r="J47" s="36"/>
      <c r="K47" s="37"/>
      <c r="L47" s="37">
        <f t="shared" ref="L47:N47" ca="1" si="40">L48+L49</f>
        <v>0</v>
      </c>
      <c r="M47" s="37">
        <f t="shared" ca="1" si="40"/>
        <v>0</v>
      </c>
      <c r="N47" s="37">
        <f t="shared" ca="1" si="40"/>
        <v>0</v>
      </c>
      <c r="O47" s="37">
        <f t="shared" ref="O47:O49" ca="1" si="41">IF(L47&gt;0,N47*100/L47,0)</f>
        <v>0</v>
      </c>
      <c r="P47" s="37">
        <f t="shared" ca="1" si="3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0.25" hidden="1" customHeight="1">
      <c r="A48" s="38"/>
      <c r="B48" s="39"/>
      <c r="C48" s="39"/>
      <c r="D48" s="39"/>
      <c r="E48" s="40" t="s">
        <v>18</v>
      </c>
      <c r="F48" s="39"/>
      <c r="G48" s="41"/>
      <c r="H48" s="42" t="s">
        <v>12</v>
      </c>
      <c r="I48" s="43"/>
      <c r="J48" s="43"/>
      <c r="K48" s="44"/>
      <c r="L48" s="90">
        <v>0</v>
      </c>
      <c r="M48" s="90">
        <v>0</v>
      </c>
      <c r="N48" s="90">
        <v>0</v>
      </c>
      <c r="O48" s="44">
        <f t="shared" si="41"/>
        <v>0</v>
      </c>
      <c r="P48" s="44">
        <f t="shared" si="36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20.25" hidden="1" customHeight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1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1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1">
        <f t="shared" ca="1" si="41"/>
        <v>0</v>
      </c>
      <c r="P49" s="51">
        <f t="shared" ca="1" si="36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20.25" customHeight="1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20.25" customHeight="1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20.25" customHeight="1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20.25" customHeight="1">
      <c r="A53" s="105"/>
      <c r="B53" s="106"/>
      <c r="C53" s="107" t="s">
        <v>16</v>
      </c>
      <c r="D53" s="108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42">L54+L55</f>
        <v>19569900</v>
      </c>
      <c r="M53" s="112">
        <f t="shared" ca="1" si="42"/>
        <v>12739000</v>
      </c>
      <c r="N53" s="112">
        <f t="shared" ca="1" si="42"/>
        <v>8699760.370000001</v>
      </c>
      <c r="O53" s="112">
        <f t="shared" ref="O53:O61" ca="1" si="43">IF(L53&gt;0,N53*100/L53,0)</f>
        <v>44.454802375076014</v>
      </c>
      <c r="P53" s="112">
        <f t="shared" ref="P53:P61" ca="1" si="44">IF(M53&gt;0,N53*100/M53,0)</f>
        <v>68.292333542664267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0.25" hidden="1" customHeight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4" si="45">L57+L60</f>
        <v>0</v>
      </c>
      <c r="M54" s="119">
        <f t="shared" si="45"/>
        <v>0</v>
      </c>
      <c r="N54" s="119">
        <f t="shared" si="45"/>
        <v>0</v>
      </c>
      <c r="O54" s="119">
        <f t="shared" si="43"/>
        <v>0</v>
      </c>
      <c r="P54" s="119">
        <f t="shared" si="44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20.25" hidden="1" customHeight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ref="L55:N55" ca="1" si="46">L58+L61</f>
        <v>19569900</v>
      </c>
      <c r="M55" s="119">
        <f t="shared" ca="1" si="46"/>
        <v>12739000</v>
      </c>
      <c r="N55" s="119">
        <f t="shared" ca="1" si="46"/>
        <v>8699760.370000001</v>
      </c>
      <c r="O55" s="119">
        <f t="shared" ca="1" si="43"/>
        <v>44.454802375076014</v>
      </c>
      <c r="P55" s="119">
        <f t="shared" ca="1" si="44"/>
        <v>68.292333542664267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20.25" customHeight="1">
      <c r="A56" s="31"/>
      <c r="B56" s="32"/>
      <c r="C56" s="32"/>
      <c r="D56" s="33" t="s">
        <v>20</v>
      </c>
      <c r="E56" s="32"/>
      <c r="F56" s="32"/>
      <c r="G56" s="34"/>
      <c r="H56" s="35" t="s">
        <v>12</v>
      </c>
      <c r="I56" s="36"/>
      <c r="J56" s="36"/>
      <c r="K56" s="37"/>
      <c r="L56" s="37">
        <f t="shared" ref="L56:N56" ca="1" si="47">L57+L58</f>
        <v>14110200</v>
      </c>
      <c r="M56" s="37">
        <f t="shared" ca="1" si="47"/>
        <v>7338900</v>
      </c>
      <c r="N56" s="37">
        <f t="shared" ca="1" si="47"/>
        <v>4484260.37</v>
      </c>
      <c r="O56" s="37">
        <f t="shared" ca="1" si="43"/>
        <v>31.780275049255149</v>
      </c>
      <c r="P56" s="37">
        <f t="shared" ca="1" si="44"/>
        <v>61.102622600117186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0.25" hidden="1" customHeight="1">
      <c r="A57" s="38"/>
      <c r="B57" s="39"/>
      <c r="C57" s="39"/>
      <c r="D57" s="39"/>
      <c r="E57" s="40" t="s">
        <v>18</v>
      </c>
      <c r="F57" s="39"/>
      <c r="G57" s="41"/>
      <c r="H57" s="42" t="s">
        <v>12</v>
      </c>
      <c r="I57" s="43"/>
      <c r="J57" s="43"/>
      <c r="K57" s="44"/>
      <c r="L57" s="90">
        <v>0</v>
      </c>
      <c r="M57" s="90">
        <v>0</v>
      </c>
      <c r="N57" s="90">
        <v>0</v>
      </c>
      <c r="O57" s="44">
        <f t="shared" si="43"/>
        <v>0</v>
      </c>
      <c r="P57" s="44">
        <f t="shared" si="44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20.25" hidden="1" customHeight="1">
      <c r="A58" s="38"/>
      <c r="B58" s="39"/>
      <c r="C58" s="39"/>
      <c r="D58" s="39"/>
      <c r="E58" s="40" t="s">
        <v>19</v>
      </c>
      <c r="F58" s="39"/>
      <c r="G58" s="41"/>
      <c r="H58" s="42" t="s">
        <v>12</v>
      </c>
      <c r="I58" s="43"/>
      <c r="J58" s="43"/>
      <c r="K58" s="44"/>
      <c r="L58" s="44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4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"),7338900)</f>
        <v>7338900</v>
      </c>
      <c r="N58" s="44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"),4484260.37)</f>
        <v>4484260.37</v>
      </c>
      <c r="O58" s="44">
        <f t="shared" ca="1" si="43"/>
        <v>31.780275049255149</v>
      </c>
      <c r="P58" s="44">
        <f t="shared" ca="1" si="44"/>
        <v>61.102622600117186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20.25" customHeight="1">
      <c r="A59" s="31"/>
      <c r="B59" s="32"/>
      <c r="C59" s="32"/>
      <c r="D59" s="33" t="s">
        <v>21</v>
      </c>
      <c r="E59" s="32"/>
      <c r="F59" s="32"/>
      <c r="G59" s="34"/>
      <c r="H59" s="35" t="s">
        <v>12</v>
      </c>
      <c r="I59" s="36"/>
      <c r="J59" s="36"/>
      <c r="K59" s="37"/>
      <c r="L59" s="37">
        <f t="shared" ref="L59:N59" ca="1" si="48">L60+L61</f>
        <v>5459700</v>
      </c>
      <c r="M59" s="37">
        <f t="shared" ca="1" si="48"/>
        <v>5400100</v>
      </c>
      <c r="N59" s="37">
        <f t="shared" ca="1" si="48"/>
        <v>4215500</v>
      </c>
      <c r="O59" s="37">
        <f t="shared" ca="1" si="43"/>
        <v>77.211202080700403</v>
      </c>
      <c r="P59" s="37">
        <f t="shared" ca="1" si="44"/>
        <v>78.063369196866731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0.25" hidden="1" customHeight="1">
      <c r="A60" s="38"/>
      <c r="B60" s="39"/>
      <c r="C60" s="39"/>
      <c r="D60" s="39"/>
      <c r="E60" s="40" t="s">
        <v>18</v>
      </c>
      <c r="F60" s="39"/>
      <c r="G60" s="41"/>
      <c r="H60" s="42" t="s">
        <v>12</v>
      </c>
      <c r="I60" s="43"/>
      <c r="J60" s="43"/>
      <c r="K60" s="44"/>
      <c r="L60" s="90">
        <v>0</v>
      </c>
      <c r="M60" s="90">
        <v>0</v>
      </c>
      <c r="N60" s="90">
        <v>0</v>
      </c>
      <c r="O60" s="44">
        <f t="shared" si="43"/>
        <v>0</v>
      </c>
      <c r="P60" s="44">
        <f t="shared" si="44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20.25" hidden="1" customHeight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1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"),5400100)</f>
        <v>5400100</v>
      </c>
      <c r="N61" s="51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"),4215500)</f>
        <v>4215500</v>
      </c>
      <c r="O61" s="51">
        <f t="shared" ca="1" si="43"/>
        <v>77.211202080700403</v>
      </c>
      <c r="P61" s="51">
        <f t="shared" ca="1" si="44"/>
        <v>78.063369196866731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20.25" customHeight="1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20.25" customHeight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20.25" customHeight="1">
      <c r="A64" s="134"/>
      <c r="B64" s="135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4" ca="1" si="49">I76</f>
        <v>8</v>
      </c>
      <c r="J64" s="140">
        <f t="shared" ca="1" si="49"/>
        <v>0</v>
      </c>
      <c r="K64" s="141">
        <f t="shared" ref="K64:K65" ca="1" si="50">IF(I64&gt;0,J64*100/I64,0)</f>
        <v>0</v>
      </c>
      <c r="L64" s="142"/>
      <c r="M64" s="142"/>
      <c r="N64" s="142"/>
      <c r="O64" s="142"/>
      <c r="P64" s="142"/>
    </row>
    <row r="65" spans="1:26" ht="20.25" customHeight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ref="I65:J65" ca="1" si="51">I77</f>
        <v>450</v>
      </c>
      <c r="J65" s="140">
        <f t="shared" ca="1" si="51"/>
        <v>0</v>
      </c>
      <c r="K65" s="141">
        <f t="shared" ca="1" si="50"/>
        <v>0</v>
      </c>
      <c r="L65" s="142"/>
      <c r="M65" s="142"/>
      <c r="N65" s="142"/>
      <c r="O65" s="142"/>
      <c r="P65" s="142"/>
    </row>
    <row r="66" spans="1:26" ht="20.25" customHeight="1">
      <c r="A66" s="143"/>
      <c r="B66" s="144"/>
      <c r="C66" s="145" t="s">
        <v>16</v>
      </c>
      <c r="D66" s="146" t="s">
        <v>17</v>
      </c>
      <c r="E66" s="144"/>
      <c r="F66" s="144"/>
      <c r="G66" s="147"/>
      <c r="H66" s="148" t="s">
        <v>12</v>
      </c>
      <c r="I66" s="149"/>
      <c r="J66" s="149"/>
      <c r="K66" s="150"/>
      <c r="L66" s="151">
        <f t="shared" ref="L66:N66" ca="1" si="52">L67+L68</f>
        <v>5761100</v>
      </c>
      <c r="M66" s="151">
        <f t="shared" ca="1" si="52"/>
        <v>2774050</v>
      </c>
      <c r="N66" s="151">
        <f t="shared" ca="1" si="52"/>
        <v>785298.75999999896</v>
      </c>
      <c r="O66" s="151">
        <f t="shared" ref="O66:O74" ca="1" si="53">IF(L66&gt;0,N66*100/L66,0)</f>
        <v>13.631055874746124</v>
      </c>
      <c r="P66" s="151">
        <f t="shared" ref="P66:P74" ca="1" si="54">IF(M66&gt;0,N66*100/M66,0)</f>
        <v>28.308745696724966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0.25" hidden="1" customHeight="1">
      <c r="A67" s="152"/>
      <c r="B67" s="39"/>
      <c r="C67" s="39"/>
      <c r="D67" s="39"/>
      <c r="E67" s="40" t="s">
        <v>18</v>
      </c>
      <c r="F67" s="39"/>
      <c r="G67" s="153"/>
      <c r="H67" s="154" t="s">
        <v>12</v>
      </c>
      <c r="I67" s="43"/>
      <c r="J67" s="43"/>
      <c r="K67" s="44"/>
      <c r="L67" s="44">
        <f t="shared" ref="L67:N67" si="55">L70+L73</f>
        <v>0</v>
      </c>
      <c r="M67" s="44">
        <f t="shared" si="55"/>
        <v>0</v>
      </c>
      <c r="N67" s="44">
        <f t="shared" si="55"/>
        <v>0</v>
      </c>
      <c r="O67" s="44">
        <f t="shared" si="53"/>
        <v>0</v>
      </c>
      <c r="P67" s="44">
        <f t="shared" si="54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20.25" hidden="1" customHeight="1">
      <c r="A68" s="152"/>
      <c r="B68" s="39"/>
      <c r="C68" s="39"/>
      <c r="D68" s="39"/>
      <c r="E68" s="40" t="s">
        <v>19</v>
      </c>
      <c r="F68" s="39"/>
      <c r="G68" s="153"/>
      <c r="H68" s="154" t="s">
        <v>12</v>
      </c>
      <c r="I68" s="43"/>
      <c r="J68" s="43"/>
      <c r="K68" s="44"/>
      <c r="L68" s="44">
        <f t="shared" ref="L68:N68" ca="1" si="56">L71+L74</f>
        <v>5761100</v>
      </c>
      <c r="M68" s="44">
        <f t="shared" ca="1" si="56"/>
        <v>2774050</v>
      </c>
      <c r="N68" s="44">
        <f t="shared" ca="1" si="56"/>
        <v>785298.75999999896</v>
      </c>
      <c r="O68" s="44">
        <f t="shared" ca="1" si="53"/>
        <v>13.631055874746124</v>
      </c>
      <c r="P68" s="44">
        <f t="shared" ca="1" si="54"/>
        <v>28.308745696724966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20.25" customHeight="1">
      <c r="A69" s="155"/>
      <c r="B69" s="32"/>
      <c r="C69" s="156"/>
      <c r="D69" s="33" t="s">
        <v>20</v>
      </c>
      <c r="E69" s="32"/>
      <c r="F69" s="32"/>
      <c r="G69" s="34"/>
      <c r="H69" s="157" t="s">
        <v>12</v>
      </c>
      <c r="I69" s="158"/>
      <c r="J69" s="158"/>
      <c r="K69" s="159"/>
      <c r="L69" s="37">
        <f t="shared" ref="L69:N69" ca="1" si="57">L70+L71</f>
        <v>5761100</v>
      </c>
      <c r="M69" s="37">
        <f t="shared" ca="1" si="57"/>
        <v>2774050</v>
      </c>
      <c r="N69" s="37">
        <f t="shared" ca="1" si="57"/>
        <v>785298.75999999896</v>
      </c>
      <c r="O69" s="37">
        <f t="shared" ca="1" si="53"/>
        <v>13.631055874746124</v>
      </c>
      <c r="P69" s="37">
        <f t="shared" ca="1" si="54"/>
        <v>28.308745696724966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0.25" hidden="1" customHeight="1">
      <c r="A70" s="152"/>
      <c r="B70" s="39"/>
      <c r="C70" s="160"/>
      <c r="D70" s="39"/>
      <c r="E70" s="40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44">
        <f t="shared" si="53"/>
        <v>0</v>
      </c>
      <c r="P70" s="44">
        <f t="shared" si="54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0.25" hidden="1" customHeight="1">
      <c r="A71" s="152"/>
      <c r="B71" s="39"/>
      <c r="C71" s="160"/>
      <c r="D71" s="39"/>
      <c r="E71" s="40" t="s">
        <v>37</v>
      </c>
      <c r="F71" s="39"/>
      <c r="G71" s="153"/>
      <c r="H71" s="161" t="s">
        <v>12</v>
      </c>
      <c r="I71" s="162"/>
      <c r="J71" s="162"/>
      <c r="K71" s="163"/>
      <c r="L71" s="44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4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"),2774050)</f>
        <v>2774050</v>
      </c>
      <c r="N71" s="44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"),785298.759999999)</f>
        <v>785298.75999999896</v>
      </c>
      <c r="O71" s="44">
        <f t="shared" ca="1" si="53"/>
        <v>13.631055874746124</v>
      </c>
      <c r="P71" s="44">
        <f t="shared" ca="1" si="54"/>
        <v>28.308745696724966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0.25" customHeight="1">
      <c r="A72" s="155"/>
      <c r="B72" s="32"/>
      <c r="C72" s="156"/>
      <c r="D72" s="33" t="s">
        <v>21</v>
      </c>
      <c r="E72" s="32"/>
      <c r="F72" s="32"/>
      <c r="G72" s="34"/>
      <c r="H72" s="164" t="s">
        <v>12</v>
      </c>
      <c r="I72" s="158"/>
      <c r="J72" s="158"/>
      <c r="K72" s="159"/>
      <c r="L72" s="37">
        <f t="shared" ref="L72:N72" ca="1" si="58">L73+L74</f>
        <v>0</v>
      </c>
      <c r="M72" s="37">
        <f t="shared" ca="1" si="58"/>
        <v>0</v>
      </c>
      <c r="N72" s="37">
        <f t="shared" ca="1" si="58"/>
        <v>0</v>
      </c>
      <c r="O72" s="37">
        <f t="shared" ca="1" si="53"/>
        <v>0</v>
      </c>
      <c r="P72" s="37">
        <f t="shared" ca="1" si="54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0.25" hidden="1" customHeight="1">
      <c r="A73" s="152"/>
      <c r="B73" s="39"/>
      <c r="C73" s="160"/>
      <c r="D73" s="39"/>
      <c r="E73" s="40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44"/>
      <c r="N73" s="44"/>
      <c r="O73" s="44">
        <f t="shared" si="53"/>
        <v>0</v>
      </c>
      <c r="P73" s="44">
        <f t="shared" si="54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20.25" hidden="1" customHeight="1">
      <c r="A74" s="152"/>
      <c r="B74" s="39"/>
      <c r="C74" s="160"/>
      <c r="D74" s="39"/>
      <c r="E74" s="40" t="s">
        <v>19</v>
      </c>
      <c r="F74" s="39"/>
      <c r="G74" s="153"/>
      <c r="H74" s="165" t="s">
        <v>12</v>
      </c>
      <c r="I74" s="162"/>
      <c r="J74" s="162"/>
      <c r="K74" s="163"/>
      <c r="L74" s="44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4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4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4">
        <f t="shared" ca="1" si="53"/>
        <v>0</v>
      </c>
      <c r="P74" s="44">
        <f t="shared" ca="1" si="54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0.25" customHeight="1">
      <c r="A75" s="166"/>
      <c r="B75" s="167"/>
      <c r="C75" s="160" t="s">
        <v>16</v>
      </c>
      <c r="D75" s="168" t="s">
        <v>38</v>
      </c>
      <c r="E75" s="169"/>
      <c r="F75" s="169"/>
      <c r="G75" s="170"/>
      <c r="H75" s="171"/>
      <c r="I75" s="158"/>
      <c r="J75" s="158"/>
      <c r="K75" s="159"/>
      <c r="L75" s="159"/>
      <c r="M75" s="159"/>
      <c r="N75" s="159"/>
      <c r="O75" s="159"/>
      <c r="P75" s="159"/>
    </row>
    <row r="76" spans="1:26" ht="20.25" customHeight="1">
      <c r="A76" s="166"/>
      <c r="B76" s="167"/>
      <c r="C76" s="167"/>
      <c r="D76" s="172" t="s">
        <v>39</v>
      </c>
      <c r="E76" s="173"/>
      <c r="F76" s="174"/>
      <c r="G76" s="175"/>
      <c r="H76" s="176" t="s">
        <v>34</v>
      </c>
      <c r="I76" s="36">
        <f t="shared" ref="I76:J76" ca="1" si="59">I78+I80+I82</f>
        <v>8</v>
      </c>
      <c r="J76" s="36">
        <f t="shared" ca="1" si="59"/>
        <v>0</v>
      </c>
      <c r="K76" s="159">
        <f t="shared" ref="K76:K84" ca="1" si="60">IF(I76&gt;0,J76*100/I76,0)</f>
        <v>0</v>
      </c>
      <c r="L76" s="159"/>
      <c r="M76" s="159"/>
      <c r="N76" s="159"/>
      <c r="O76" s="159"/>
      <c r="P76" s="159"/>
    </row>
    <row r="77" spans="1:26" ht="20.25" customHeight="1">
      <c r="A77" s="166"/>
      <c r="B77" s="167"/>
      <c r="C77" s="167"/>
      <c r="D77" s="167"/>
      <c r="E77" s="174"/>
      <c r="F77" s="174"/>
      <c r="G77" s="175"/>
      <c r="H77" s="176" t="s">
        <v>35</v>
      </c>
      <c r="I77" s="36">
        <f t="shared" ref="I77:J77" ca="1" si="61">I79+I81+I83</f>
        <v>450</v>
      </c>
      <c r="J77" s="36">
        <f t="shared" ca="1" si="61"/>
        <v>0</v>
      </c>
      <c r="K77" s="159">
        <f t="shared" ca="1" si="60"/>
        <v>0</v>
      </c>
      <c r="L77" s="159"/>
      <c r="M77" s="159"/>
      <c r="N77" s="159"/>
      <c r="O77" s="159"/>
      <c r="P77" s="159"/>
    </row>
    <row r="78" spans="1:26" ht="20.25" customHeight="1">
      <c r="A78" s="166"/>
      <c r="B78" s="167"/>
      <c r="C78" s="167"/>
      <c r="D78" s="167"/>
      <c r="E78" s="177" t="s">
        <v>40</v>
      </c>
      <c r="F78" s="173"/>
      <c r="G78" s="175"/>
      <c r="H78" s="178" t="s">
        <v>34</v>
      </c>
      <c r="I78" s="158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79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"),0)</f>
        <v>0</v>
      </c>
      <c r="K78" s="159">
        <f t="shared" ca="1" si="60"/>
        <v>0</v>
      </c>
      <c r="L78" s="159"/>
      <c r="M78" s="159"/>
      <c r="N78" s="159"/>
      <c r="O78" s="159"/>
      <c r="P78" s="159"/>
    </row>
    <row r="79" spans="1:26" ht="20.25" customHeight="1">
      <c r="A79" s="166"/>
      <c r="B79" s="167"/>
      <c r="C79" s="167"/>
      <c r="D79" s="167"/>
      <c r="E79" s="174"/>
      <c r="F79" s="174"/>
      <c r="G79" s="175"/>
      <c r="H79" s="178" t="s">
        <v>35</v>
      </c>
      <c r="I79" s="158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79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"),0)</f>
        <v>0</v>
      </c>
      <c r="K79" s="159">
        <f t="shared" ca="1" si="60"/>
        <v>0</v>
      </c>
      <c r="L79" s="159"/>
      <c r="M79" s="159"/>
      <c r="N79" s="159"/>
      <c r="O79" s="159"/>
      <c r="P79" s="159"/>
    </row>
    <row r="80" spans="1:26" ht="20.25" customHeight="1">
      <c r="A80" s="166"/>
      <c r="B80" s="167"/>
      <c r="C80" s="167"/>
      <c r="D80" s="167"/>
      <c r="E80" s="177" t="s">
        <v>41</v>
      </c>
      <c r="F80" s="173"/>
      <c r="G80" s="175"/>
      <c r="H80" s="178" t="s">
        <v>34</v>
      </c>
      <c r="I80" s="158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79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"),0)</f>
        <v>0</v>
      </c>
      <c r="K80" s="159">
        <f t="shared" ca="1" si="60"/>
        <v>0</v>
      </c>
      <c r="L80" s="159"/>
      <c r="M80" s="159"/>
      <c r="N80" s="159"/>
      <c r="O80" s="159"/>
      <c r="P80" s="159"/>
    </row>
    <row r="81" spans="1:26" ht="20.25" customHeight="1">
      <c r="A81" s="166"/>
      <c r="B81" s="167"/>
      <c r="C81" s="167"/>
      <c r="D81" s="167"/>
      <c r="E81" s="174"/>
      <c r="F81" s="174"/>
      <c r="G81" s="175"/>
      <c r="H81" s="178" t="s">
        <v>35</v>
      </c>
      <c r="I81" s="158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79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"),0)</f>
        <v>0</v>
      </c>
      <c r="K81" s="159">
        <f t="shared" ca="1" si="60"/>
        <v>0</v>
      </c>
      <c r="L81" s="159"/>
      <c r="M81" s="159"/>
      <c r="N81" s="159"/>
      <c r="O81" s="159"/>
      <c r="P81" s="159"/>
    </row>
    <row r="82" spans="1:26" ht="20.25" customHeight="1">
      <c r="A82" s="166"/>
      <c r="B82" s="167"/>
      <c r="C82" s="167"/>
      <c r="D82" s="167"/>
      <c r="E82" s="177" t="s">
        <v>42</v>
      </c>
      <c r="F82" s="173"/>
      <c r="G82" s="175"/>
      <c r="H82" s="178" t="s">
        <v>34</v>
      </c>
      <c r="I82" s="180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79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"),0)</f>
        <v>0</v>
      </c>
      <c r="K82" s="159">
        <f t="shared" ca="1" si="60"/>
        <v>0</v>
      </c>
      <c r="L82" s="159"/>
      <c r="M82" s="159"/>
      <c r="N82" s="159"/>
      <c r="O82" s="159"/>
      <c r="P82" s="159"/>
    </row>
    <row r="83" spans="1:26" ht="20.25" customHeight="1">
      <c r="A83" s="166"/>
      <c r="B83" s="167"/>
      <c r="C83" s="167"/>
      <c r="D83" s="167"/>
      <c r="E83" s="174"/>
      <c r="F83" s="174"/>
      <c r="G83" s="175"/>
      <c r="H83" s="178" t="s">
        <v>35</v>
      </c>
      <c r="I83" s="158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79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"),0)</f>
        <v>0</v>
      </c>
      <c r="K83" s="159">
        <f t="shared" ca="1" si="60"/>
        <v>0</v>
      </c>
      <c r="L83" s="159"/>
      <c r="M83" s="159"/>
      <c r="N83" s="159"/>
      <c r="O83" s="159"/>
      <c r="P83" s="159"/>
    </row>
    <row r="84" spans="1:26" ht="20.25" customHeight="1">
      <c r="A84" s="166"/>
      <c r="B84" s="167"/>
      <c r="C84" s="167"/>
      <c r="D84" s="172" t="s">
        <v>43</v>
      </c>
      <c r="E84" s="173"/>
      <c r="F84" s="174"/>
      <c r="G84" s="175"/>
      <c r="H84" s="181" t="s">
        <v>34</v>
      </c>
      <c r="I84" s="158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79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"),0)</f>
        <v>0</v>
      </c>
      <c r="K84" s="159">
        <f t="shared" ca="1" si="60"/>
        <v>0</v>
      </c>
      <c r="L84" s="159"/>
      <c r="M84" s="159"/>
      <c r="N84" s="159"/>
      <c r="O84" s="159"/>
      <c r="P84" s="159"/>
    </row>
    <row r="85" spans="1:26" ht="20.25" customHeight="1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20.25" customHeight="1">
      <c r="A86" s="134"/>
      <c r="B86" s="135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6" ca="1" si="62">I98</f>
        <v>645</v>
      </c>
      <c r="J86" s="140">
        <f t="shared" ca="1" si="62"/>
        <v>30</v>
      </c>
      <c r="K86" s="141">
        <f t="shared" ref="K86:K87" ca="1" si="63">IF(I86&gt;0,J86*100/I86,0)</f>
        <v>4.6511627906976747</v>
      </c>
      <c r="L86" s="142"/>
      <c r="M86" s="142"/>
      <c r="N86" s="142"/>
      <c r="O86" s="142"/>
      <c r="P86" s="142"/>
    </row>
    <row r="87" spans="1:26" ht="20.25" customHeight="1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ref="I87:J87" ca="1" si="64">I99</f>
        <v>215</v>
      </c>
      <c r="J87" s="140">
        <f t="shared" ca="1" si="64"/>
        <v>10</v>
      </c>
      <c r="K87" s="141">
        <f t="shared" ca="1" si="63"/>
        <v>4.6511627906976747</v>
      </c>
      <c r="L87" s="142"/>
      <c r="M87" s="142"/>
      <c r="N87" s="142"/>
      <c r="O87" s="142"/>
      <c r="P87" s="142"/>
    </row>
    <row r="88" spans="1:26" ht="20.25" customHeight="1">
      <c r="A88" s="143"/>
      <c r="B88" s="144"/>
      <c r="C88" s="145" t="s">
        <v>16</v>
      </c>
      <c r="D88" s="146" t="s">
        <v>17</v>
      </c>
      <c r="E88" s="144"/>
      <c r="F88" s="144"/>
      <c r="G88" s="147"/>
      <c r="H88" s="148" t="s">
        <v>12</v>
      </c>
      <c r="I88" s="149"/>
      <c r="J88" s="149"/>
      <c r="K88" s="150"/>
      <c r="L88" s="151">
        <f t="shared" ref="L88:N88" ca="1" si="65">L89+L90</f>
        <v>3424660</v>
      </c>
      <c r="M88" s="151">
        <f t="shared" ca="1" si="65"/>
        <v>1508160</v>
      </c>
      <c r="N88" s="151">
        <f t="shared" ca="1" si="65"/>
        <v>478776.86</v>
      </c>
      <c r="O88" s="151">
        <f t="shared" ref="O88:O96" ca="1" si="66">IF(L88&gt;0,N88*100/L88,0)</f>
        <v>13.980274246202542</v>
      </c>
      <c r="P88" s="151">
        <f t="shared" ref="P88:P96" ca="1" si="67">IF(M88&gt;0,N88*100/M88,0)</f>
        <v>31.745760396774877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0.25" hidden="1" customHeight="1">
      <c r="A89" s="152"/>
      <c r="B89" s="39"/>
      <c r="C89" s="39"/>
      <c r="D89" s="39"/>
      <c r="E89" s="40" t="s">
        <v>18</v>
      </c>
      <c r="F89" s="39"/>
      <c r="G89" s="153"/>
      <c r="H89" s="154" t="s">
        <v>12</v>
      </c>
      <c r="I89" s="43"/>
      <c r="J89" s="43"/>
      <c r="K89" s="44"/>
      <c r="L89" s="44">
        <f t="shared" ref="L89:N89" si="68">L92+L95</f>
        <v>0</v>
      </c>
      <c r="M89" s="44">
        <f t="shared" si="68"/>
        <v>0</v>
      </c>
      <c r="N89" s="44">
        <f t="shared" si="68"/>
        <v>0</v>
      </c>
      <c r="O89" s="44">
        <f t="shared" si="66"/>
        <v>0</v>
      </c>
      <c r="P89" s="44">
        <f t="shared" si="67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20.25" hidden="1" customHeight="1">
      <c r="A90" s="152"/>
      <c r="B90" s="39"/>
      <c r="C90" s="39"/>
      <c r="D90" s="39"/>
      <c r="E90" s="40" t="s">
        <v>19</v>
      </c>
      <c r="F90" s="39"/>
      <c r="G90" s="153"/>
      <c r="H90" s="154" t="s">
        <v>12</v>
      </c>
      <c r="I90" s="43"/>
      <c r="J90" s="43"/>
      <c r="K90" s="44"/>
      <c r="L90" s="44">
        <f t="shared" ref="L90:N90" ca="1" si="69">L93+L96</f>
        <v>3424660</v>
      </c>
      <c r="M90" s="44">
        <f t="shared" ca="1" si="69"/>
        <v>1508160</v>
      </c>
      <c r="N90" s="44">
        <f t="shared" ca="1" si="69"/>
        <v>478776.86</v>
      </c>
      <c r="O90" s="44">
        <f t="shared" ca="1" si="66"/>
        <v>13.980274246202542</v>
      </c>
      <c r="P90" s="44">
        <f t="shared" ca="1" si="67"/>
        <v>31.745760396774877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20.25" customHeight="1">
      <c r="A91" s="155"/>
      <c r="B91" s="32"/>
      <c r="C91" s="156"/>
      <c r="D91" s="33" t="s">
        <v>20</v>
      </c>
      <c r="E91" s="32"/>
      <c r="F91" s="32"/>
      <c r="G91" s="34"/>
      <c r="H91" s="157" t="s">
        <v>12</v>
      </c>
      <c r="I91" s="158"/>
      <c r="J91" s="158"/>
      <c r="K91" s="159"/>
      <c r="L91" s="37">
        <f t="shared" ref="L91:N91" ca="1" si="70">L92+L93</f>
        <v>3424660</v>
      </c>
      <c r="M91" s="37">
        <f t="shared" ca="1" si="70"/>
        <v>1508160</v>
      </c>
      <c r="N91" s="37">
        <f t="shared" ca="1" si="70"/>
        <v>478776.86</v>
      </c>
      <c r="O91" s="37">
        <f t="shared" ca="1" si="66"/>
        <v>13.980274246202542</v>
      </c>
      <c r="P91" s="37">
        <f t="shared" ca="1" si="67"/>
        <v>31.745760396774877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0.25" hidden="1" customHeight="1">
      <c r="A92" s="152"/>
      <c r="B92" s="39"/>
      <c r="C92" s="160"/>
      <c r="D92" s="39"/>
      <c r="E92" s="40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44">
        <f t="shared" si="66"/>
        <v>0</v>
      </c>
      <c r="P92" s="44">
        <f t="shared" si="67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20.25" hidden="1" customHeight="1">
      <c r="A93" s="152"/>
      <c r="B93" s="39"/>
      <c r="C93" s="160"/>
      <c r="D93" s="39"/>
      <c r="E93" s="40" t="s">
        <v>37</v>
      </c>
      <c r="F93" s="39"/>
      <c r="G93" s="153"/>
      <c r="H93" s="161" t="s">
        <v>12</v>
      </c>
      <c r="I93" s="162"/>
      <c r="J93" s="162"/>
      <c r="K93" s="163"/>
      <c r="L93" s="44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4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"),1508160)</f>
        <v>1508160</v>
      </c>
      <c r="N93" s="44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"),478776.86)</f>
        <v>478776.86</v>
      </c>
      <c r="O93" s="44">
        <f t="shared" ca="1" si="66"/>
        <v>13.980274246202542</v>
      </c>
      <c r="P93" s="44">
        <f t="shared" ca="1" si="67"/>
        <v>31.745760396774877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20.25" customHeight="1">
      <c r="A94" s="155"/>
      <c r="B94" s="32"/>
      <c r="C94" s="156"/>
      <c r="D94" s="33" t="s">
        <v>21</v>
      </c>
      <c r="E94" s="32"/>
      <c r="F94" s="32"/>
      <c r="G94" s="34"/>
      <c r="H94" s="164" t="s">
        <v>12</v>
      </c>
      <c r="I94" s="158"/>
      <c r="J94" s="158"/>
      <c r="K94" s="159"/>
      <c r="L94" s="37">
        <f t="shared" ref="L94:N94" ca="1" si="71">L95+L96</f>
        <v>0</v>
      </c>
      <c r="M94" s="37">
        <f t="shared" ca="1" si="71"/>
        <v>0</v>
      </c>
      <c r="N94" s="37">
        <f t="shared" ca="1" si="71"/>
        <v>0</v>
      </c>
      <c r="O94" s="37">
        <f t="shared" ca="1" si="66"/>
        <v>0</v>
      </c>
      <c r="P94" s="37">
        <f t="shared" ca="1" si="67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0.25" hidden="1" customHeight="1">
      <c r="A95" s="152"/>
      <c r="B95" s="39"/>
      <c r="C95" s="160"/>
      <c r="D95" s="39"/>
      <c r="E95" s="40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44">
        <f t="shared" si="66"/>
        <v>0</v>
      </c>
      <c r="P95" s="44">
        <f t="shared" si="67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20.25" hidden="1" customHeight="1">
      <c r="A96" s="152"/>
      <c r="B96" s="39"/>
      <c r="C96" s="160"/>
      <c r="D96" s="39"/>
      <c r="E96" s="40" t="s">
        <v>19</v>
      </c>
      <c r="F96" s="39"/>
      <c r="G96" s="153"/>
      <c r="H96" s="165" t="s">
        <v>12</v>
      </c>
      <c r="I96" s="162"/>
      <c r="J96" s="162"/>
      <c r="K96" s="163"/>
      <c r="L96" s="44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4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4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4">
        <f t="shared" ca="1" si="66"/>
        <v>0</v>
      </c>
      <c r="P96" s="44">
        <f t="shared" ca="1" si="67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20.25" customHeight="1">
      <c r="A97" s="166"/>
      <c r="B97" s="167"/>
      <c r="C97" s="160" t="s">
        <v>16</v>
      </c>
      <c r="D97" s="168" t="s">
        <v>38</v>
      </c>
      <c r="E97" s="169"/>
      <c r="F97" s="169"/>
      <c r="G97" s="170"/>
      <c r="H97" s="171"/>
      <c r="I97" s="158"/>
      <c r="J97" s="36"/>
      <c r="K97" s="37"/>
      <c r="L97" s="37"/>
      <c r="M97" s="37"/>
      <c r="N97" s="37"/>
      <c r="O97" s="159"/>
      <c r="P97" s="159"/>
    </row>
    <row r="98" spans="1:16" ht="20.25" customHeight="1">
      <c r="A98" s="166"/>
      <c r="B98" s="167"/>
      <c r="C98" s="167"/>
      <c r="D98" s="177" t="s">
        <v>47</v>
      </c>
      <c r="E98" s="173"/>
      <c r="F98" s="174"/>
      <c r="G98" s="175"/>
      <c r="H98" s="35" t="s">
        <v>46</v>
      </c>
      <c r="I98" s="36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6">
        <f ca="1">J102</f>
        <v>30</v>
      </c>
      <c r="K98" s="37">
        <f t="shared" ref="K98:K100" ca="1" si="72">IF(I98&gt;0,J98*100/I98,0)</f>
        <v>4.6511627906976747</v>
      </c>
      <c r="L98" s="37"/>
      <c r="M98" s="37"/>
      <c r="N98" s="37"/>
      <c r="O98" s="159"/>
      <c r="P98" s="159"/>
    </row>
    <row r="99" spans="1:16" ht="20.25" customHeight="1">
      <c r="A99" s="166"/>
      <c r="B99" s="167"/>
      <c r="C99" s="167"/>
      <c r="D99" s="177" t="s">
        <v>48</v>
      </c>
      <c r="E99" s="173"/>
      <c r="F99" s="174"/>
      <c r="G99" s="175"/>
      <c r="H99" s="35" t="s">
        <v>35</v>
      </c>
      <c r="I99" s="36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6">
        <f ca="1">J104</f>
        <v>10</v>
      </c>
      <c r="K99" s="37">
        <f t="shared" ca="1" si="72"/>
        <v>4.6511627906976747</v>
      </c>
      <c r="L99" s="37"/>
      <c r="M99" s="37"/>
      <c r="N99" s="37"/>
      <c r="O99" s="159"/>
      <c r="P99" s="159"/>
    </row>
    <row r="100" spans="1:16" ht="20.25" customHeight="1">
      <c r="A100" s="166"/>
      <c r="B100" s="167"/>
      <c r="C100" s="167"/>
      <c r="D100" s="167"/>
      <c r="E100" s="174"/>
      <c r="F100" s="174"/>
      <c r="G100" s="175"/>
      <c r="H100" s="35" t="s">
        <v>49</v>
      </c>
      <c r="I100" s="36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6">
        <f ca="1">J107+J110</f>
        <v>1</v>
      </c>
      <c r="K100" s="37">
        <f t="shared" ca="1" si="72"/>
        <v>2.6315789473684212</v>
      </c>
      <c r="L100" s="37"/>
      <c r="M100" s="37"/>
      <c r="N100" s="37"/>
      <c r="O100" s="159"/>
      <c r="P100" s="159"/>
    </row>
    <row r="101" spans="1:16" ht="20.25" customHeight="1">
      <c r="A101" s="166"/>
      <c r="B101" s="167"/>
      <c r="C101" s="167"/>
      <c r="D101" s="174"/>
      <c r="E101" s="182" t="s">
        <v>50</v>
      </c>
      <c r="F101" s="174"/>
      <c r="G101" s="175"/>
      <c r="H101" s="35"/>
      <c r="I101" s="36"/>
      <c r="J101" s="36"/>
      <c r="K101" s="37"/>
      <c r="L101" s="37"/>
      <c r="M101" s="37"/>
      <c r="N101" s="37"/>
      <c r="O101" s="159"/>
      <c r="P101" s="159"/>
    </row>
    <row r="102" spans="1:16" ht="20.25" customHeight="1">
      <c r="A102" s="166"/>
      <c r="B102" s="167"/>
      <c r="C102" s="167"/>
      <c r="D102" s="174"/>
      <c r="E102" s="183" t="s">
        <v>47</v>
      </c>
      <c r="F102" s="174"/>
      <c r="G102" s="175"/>
      <c r="H102" s="35" t="s">
        <v>46</v>
      </c>
      <c r="I102" s="36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79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"),30)</f>
        <v>30</v>
      </c>
      <c r="K102" s="37">
        <f t="shared" ref="K102:K104" ca="1" si="73">IF(I102&gt;0,J102*100/I102,0)</f>
        <v>4.6511627906976747</v>
      </c>
      <c r="L102" s="37"/>
      <c r="M102" s="37"/>
      <c r="N102" s="37"/>
      <c r="O102" s="159"/>
      <c r="P102" s="159"/>
    </row>
    <row r="103" spans="1:16" ht="20.25" customHeight="1">
      <c r="A103" s="166"/>
      <c r="B103" s="167"/>
      <c r="C103" s="167"/>
      <c r="D103" s="174"/>
      <c r="E103" s="177" t="s">
        <v>51</v>
      </c>
      <c r="F103" s="174"/>
      <c r="G103" s="175"/>
      <c r="H103" s="35" t="s">
        <v>35</v>
      </c>
      <c r="I103" s="36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79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"),10)</f>
        <v>10</v>
      </c>
      <c r="K103" s="37">
        <f t="shared" ca="1" si="73"/>
        <v>4.6511627906976747</v>
      </c>
      <c r="L103" s="37"/>
      <c r="M103" s="37"/>
      <c r="N103" s="37"/>
      <c r="O103" s="159"/>
      <c r="P103" s="159"/>
    </row>
    <row r="104" spans="1:16" ht="20.25" customHeight="1">
      <c r="A104" s="166"/>
      <c r="B104" s="167"/>
      <c r="C104" s="167"/>
      <c r="D104" s="174"/>
      <c r="E104" s="184" t="s">
        <v>52</v>
      </c>
      <c r="F104" s="174"/>
      <c r="G104" s="175"/>
      <c r="H104" s="35" t="s">
        <v>35</v>
      </c>
      <c r="I104" s="36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79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"),10)</f>
        <v>10</v>
      </c>
      <c r="K104" s="37">
        <f t="shared" ca="1" si="73"/>
        <v>4.6511627906976747</v>
      </c>
      <c r="L104" s="37"/>
      <c r="M104" s="37"/>
      <c r="N104" s="37"/>
      <c r="O104" s="159"/>
      <c r="P104" s="159"/>
    </row>
    <row r="105" spans="1:16" ht="20.25" customHeight="1">
      <c r="A105" s="166"/>
      <c r="B105" s="167"/>
      <c r="C105" s="167"/>
      <c r="D105" s="174"/>
      <c r="E105" s="182" t="s">
        <v>53</v>
      </c>
      <c r="F105" s="174"/>
      <c r="G105" s="175"/>
      <c r="H105" s="185"/>
      <c r="I105" s="36"/>
      <c r="J105" s="36"/>
      <c r="K105" s="37"/>
      <c r="L105" s="37"/>
      <c r="M105" s="37"/>
      <c r="N105" s="37"/>
      <c r="O105" s="159"/>
      <c r="P105" s="159"/>
    </row>
    <row r="106" spans="1:16" ht="20.25" customHeight="1">
      <c r="A106" s="166"/>
      <c r="B106" s="167"/>
      <c r="C106" s="167"/>
      <c r="D106" s="174"/>
      <c r="E106" s="177" t="s">
        <v>54</v>
      </c>
      <c r="F106" s="174"/>
      <c r="G106" s="175"/>
      <c r="H106" s="35" t="s">
        <v>49</v>
      </c>
      <c r="I106" s="36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79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"),0)</f>
        <v>0</v>
      </c>
      <c r="K106" s="37">
        <f t="shared" ref="K106:K107" ca="1" si="74">IF(I106&gt;0,J106*100/I106,0)</f>
        <v>0</v>
      </c>
      <c r="L106" s="37"/>
      <c r="M106" s="37"/>
      <c r="N106" s="37"/>
      <c r="O106" s="159"/>
      <c r="P106" s="159"/>
    </row>
    <row r="107" spans="1:16" ht="20.25" customHeight="1">
      <c r="A107" s="166"/>
      <c r="B107" s="167"/>
      <c r="C107" s="167"/>
      <c r="D107" s="174"/>
      <c r="E107" s="184" t="s">
        <v>55</v>
      </c>
      <c r="F107" s="174"/>
      <c r="G107" s="175"/>
      <c r="H107" s="35" t="s">
        <v>49</v>
      </c>
      <c r="I107" s="36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79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"),0)</f>
        <v>0</v>
      </c>
      <c r="K107" s="37">
        <f t="shared" ca="1" si="74"/>
        <v>0</v>
      </c>
      <c r="L107" s="37"/>
      <c r="M107" s="37"/>
      <c r="N107" s="37"/>
      <c r="O107" s="159"/>
      <c r="P107" s="159"/>
    </row>
    <row r="108" spans="1:16" ht="20.25" customHeight="1">
      <c r="A108" s="166"/>
      <c r="B108" s="167"/>
      <c r="C108" s="167"/>
      <c r="D108" s="174"/>
      <c r="E108" s="182" t="s">
        <v>56</v>
      </c>
      <c r="F108" s="174"/>
      <c r="G108" s="175"/>
      <c r="H108" s="185"/>
      <c r="I108" s="36"/>
      <c r="J108" s="36"/>
      <c r="K108" s="37"/>
      <c r="L108" s="37"/>
      <c r="M108" s="37"/>
      <c r="N108" s="37"/>
      <c r="O108" s="159"/>
      <c r="P108" s="159"/>
    </row>
    <row r="109" spans="1:16" ht="20.25" customHeight="1">
      <c r="A109" s="166"/>
      <c r="B109" s="167"/>
      <c r="C109" s="167"/>
      <c r="D109" s="174"/>
      <c r="E109" s="177" t="s">
        <v>57</v>
      </c>
      <c r="F109" s="174"/>
      <c r="G109" s="175"/>
      <c r="H109" s="35" t="s">
        <v>49</v>
      </c>
      <c r="I109" s="36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79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"),1)</f>
        <v>1</v>
      </c>
      <c r="K109" s="37">
        <f t="shared" ref="K109:K116" ca="1" si="75">IF(I109&gt;0,J109*100/I109,0)</f>
        <v>4.7619047619047619</v>
      </c>
      <c r="L109" s="37"/>
      <c r="M109" s="37"/>
      <c r="N109" s="37"/>
      <c r="O109" s="159"/>
      <c r="P109" s="159"/>
    </row>
    <row r="110" spans="1:16" ht="20.25" customHeight="1">
      <c r="A110" s="166"/>
      <c r="B110" s="167"/>
      <c r="C110" s="167"/>
      <c r="D110" s="174"/>
      <c r="E110" s="186" t="s">
        <v>58</v>
      </c>
      <c r="F110" s="174"/>
      <c r="G110" s="175"/>
      <c r="H110" s="35" t="s">
        <v>49</v>
      </c>
      <c r="I110" s="36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79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"),1)</f>
        <v>1</v>
      </c>
      <c r="K110" s="37">
        <f t="shared" ca="1" si="75"/>
        <v>4.7619047619047619</v>
      </c>
      <c r="L110" s="37"/>
      <c r="M110" s="37"/>
      <c r="N110" s="37"/>
      <c r="O110" s="159"/>
      <c r="P110" s="159"/>
    </row>
    <row r="111" spans="1:16" ht="20.25" customHeight="1">
      <c r="A111" s="166"/>
      <c r="B111" s="167"/>
      <c r="C111" s="167"/>
      <c r="D111" s="182" t="s">
        <v>59</v>
      </c>
      <c r="E111" s="187"/>
      <c r="F111" s="174"/>
      <c r="G111" s="175"/>
      <c r="H111" s="188" t="s">
        <v>35</v>
      </c>
      <c r="I111" s="189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0">
        <f ca="1">J114</f>
        <v>0</v>
      </c>
      <c r="K111" s="191">
        <f t="shared" ca="1" si="75"/>
        <v>0</v>
      </c>
      <c r="L111" s="37"/>
      <c r="M111" s="37"/>
      <c r="N111" s="37"/>
      <c r="O111" s="159"/>
      <c r="P111" s="159"/>
    </row>
    <row r="112" spans="1:16" ht="20.25" customHeight="1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76">I115+I116</f>
        <v>38</v>
      </c>
      <c r="J112" s="190">
        <f t="shared" ca="1" si="76"/>
        <v>0</v>
      </c>
      <c r="K112" s="191">
        <f t="shared" ca="1" si="75"/>
        <v>0</v>
      </c>
      <c r="L112" s="37"/>
      <c r="M112" s="37"/>
      <c r="N112" s="37"/>
      <c r="O112" s="159"/>
      <c r="P112" s="159"/>
    </row>
    <row r="113" spans="1:26" ht="20.25" customHeight="1">
      <c r="A113" s="166"/>
      <c r="B113" s="167"/>
      <c r="C113" s="167"/>
      <c r="D113" s="167"/>
      <c r="E113" s="193" t="s">
        <v>60</v>
      </c>
      <c r="F113" s="174"/>
      <c r="G113" s="175"/>
      <c r="H113" s="194" t="s">
        <v>35</v>
      </c>
      <c r="I113" s="158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79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"),0)</f>
        <v>0</v>
      </c>
      <c r="K113" s="37">
        <f t="shared" ca="1" si="75"/>
        <v>0</v>
      </c>
      <c r="L113" s="37"/>
      <c r="M113" s="37"/>
      <c r="N113" s="37"/>
      <c r="O113" s="159"/>
      <c r="P113" s="159"/>
    </row>
    <row r="114" spans="1:26" ht="20.25" customHeight="1">
      <c r="A114" s="166"/>
      <c r="B114" s="167"/>
      <c r="C114" s="167"/>
      <c r="D114" s="167"/>
      <c r="E114" s="177" t="s">
        <v>61</v>
      </c>
      <c r="F114" s="174"/>
      <c r="G114" s="175"/>
      <c r="H114" s="195" t="s">
        <v>35</v>
      </c>
      <c r="I114" s="158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79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"),0)</f>
        <v>0</v>
      </c>
      <c r="K114" s="37">
        <f t="shared" ca="1" si="75"/>
        <v>0</v>
      </c>
      <c r="L114" s="37"/>
      <c r="M114" s="37"/>
      <c r="N114" s="37"/>
      <c r="O114" s="159"/>
      <c r="P114" s="159"/>
    </row>
    <row r="115" spans="1:26" ht="20.25" customHeight="1">
      <c r="A115" s="166"/>
      <c r="B115" s="167"/>
      <c r="C115" s="167"/>
      <c r="D115" s="167"/>
      <c r="E115" s="177" t="s">
        <v>62</v>
      </c>
      <c r="F115" s="174"/>
      <c r="G115" s="175"/>
      <c r="H115" s="195" t="s">
        <v>49</v>
      </c>
      <c r="I115" s="158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79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"),0)</f>
        <v>0</v>
      </c>
      <c r="K115" s="37">
        <f t="shared" ca="1" si="75"/>
        <v>0</v>
      </c>
      <c r="L115" s="37"/>
      <c r="M115" s="37"/>
      <c r="N115" s="37"/>
      <c r="O115" s="159"/>
      <c r="P115" s="159"/>
    </row>
    <row r="116" spans="1:26" ht="20.25" customHeight="1">
      <c r="A116" s="166"/>
      <c r="B116" s="167"/>
      <c r="C116" s="167"/>
      <c r="D116" s="167"/>
      <c r="E116" s="177" t="s">
        <v>63</v>
      </c>
      <c r="F116" s="174"/>
      <c r="G116" s="175"/>
      <c r="H116" s="195" t="s">
        <v>49</v>
      </c>
      <c r="I116" s="158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79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"),0)</f>
        <v>0</v>
      </c>
      <c r="K116" s="37">
        <f t="shared" ca="1" si="75"/>
        <v>0</v>
      </c>
      <c r="L116" s="37"/>
      <c r="M116" s="37"/>
      <c r="N116" s="37"/>
      <c r="O116" s="159"/>
      <c r="P116" s="159"/>
    </row>
    <row r="117" spans="1:26" ht="20.25" customHeight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20.25" customHeight="1">
      <c r="A118" s="134"/>
      <c r="B118" s="135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20.25" customHeight="1">
      <c r="A119" s="143"/>
      <c r="B119" s="144"/>
      <c r="C119" s="145" t="s">
        <v>16</v>
      </c>
      <c r="D119" s="146" t="s">
        <v>17</v>
      </c>
      <c r="E119" s="144"/>
      <c r="F119" s="144"/>
      <c r="G119" s="147"/>
      <c r="H119" s="148" t="s">
        <v>12</v>
      </c>
      <c r="I119" s="149"/>
      <c r="J119" s="149"/>
      <c r="K119" s="150"/>
      <c r="L119" s="151">
        <f t="shared" ref="L119:N119" ca="1" si="77">L120+L121</f>
        <v>26800</v>
      </c>
      <c r="M119" s="151">
        <f t="shared" ca="1" si="77"/>
        <v>26800</v>
      </c>
      <c r="N119" s="151">
        <f t="shared" ca="1" si="77"/>
        <v>26800</v>
      </c>
      <c r="O119" s="151">
        <f t="shared" ref="O119:O127" ca="1" si="78">IF(L119&gt;0,N119*100/L119,0)</f>
        <v>100</v>
      </c>
      <c r="P119" s="151">
        <f t="shared" ref="P119:P127" ca="1" si="79">IF(M119&gt;0,N119*100/M119,0)</f>
        <v>100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0.25" hidden="1" customHeight="1">
      <c r="A120" s="152"/>
      <c r="B120" s="39"/>
      <c r="C120" s="39"/>
      <c r="D120" s="39"/>
      <c r="E120" s="40" t="s">
        <v>18</v>
      </c>
      <c r="F120" s="39"/>
      <c r="G120" s="153"/>
      <c r="H120" s="154" t="s">
        <v>12</v>
      </c>
      <c r="I120" s="43"/>
      <c r="J120" s="43"/>
      <c r="K120" s="44"/>
      <c r="L120" s="44">
        <f t="shared" ref="L120:N120" si="80">L123+L126</f>
        <v>0</v>
      </c>
      <c r="M120" s="44">
        <f t="shared" si="80"/>
        <v>0</v>
      </c>
      <c r="N120" s="44">
        <f t="shared" si="80"/>
        <v>0</v>
      </c>
      <c r="O120" s="44">
        <f t="shared" si="78"/>
        <v>0</v>
      </c>
      <c r="P120" s="44">
        <f t="shared" si="79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20.25" hidden="1" customHeight="1">
      <c r="A121" s="152"/>
      <c r="B121" s="39"/>
      <c r="C121" s="39"/>
      <c r="D121" s="39"/>
      <c r="E121" s="40" t="s">
        <v>19</v>
      </c>
      <c r="F121" s="39"/>
      <c r="G121" s="153"/>
      <c r="H121" s="154" t="s">
        <v>12</v>
      </c>
      <c r="I121" s="43"/>
      <c r="J121" s="43"/>
      <c r="K121" s="44"/>
      <c r="L121" s="44">
        <f t="shared" ref="L121:N121" ca="1" si="81">L124+L127</f>
        <v>26800</v>
      </c>
      <c r="M121" s="44">
        <f t="shared" ca="1" si="81"/>
        <v>26800</v>
      </c>
      <c r="N121" s="44">
        <f t="shared" ca="1" si="81"/>
        <v>26800</v>
      </c>
      <c r="O121" s="44">
        <f t="shared" ca="1" si="78"/>
        <v>100</v>
      </c>
      <c r="P121" s="44">
        <f t="shared" ca="1" si="79"/>
        <v>100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20.25" customHeight="1">
      <c r="A122" s="155"/>
      <c r="B122" s="32"/>
      <c r="C122" s="156"/>
      <c r="D122" s="33" t="s">
        <v>20</v>
      </c>
      <c r="E122" s="32"/>
      <c r="F122" s="32"/>
      <c r="G122" s="34"/>
      <c r="H122" s="157" t="s">
        <v>12</v>
      </c>
      <c r="I122" s="158"/>
      <c r="J122" s="158"/>
      <c r="K122" s="159"/>
      <c r="L122" s="37">
        <f t="shared" ref="L122:N122" ca="1" si="82">L123+L124</f>
        <v>0</v>
      </c>
      <c r="M122" s="37">
        <f t="shared" ca="1" si="82"/>
        <v>0</v>
      </c>
      <c r="N122" s="37">
        <f t="shared" ca="1" si="82"/>
        <v>0</v>
      </c>
      <c r="O122" s="37">
        <f t="shared" ca="1" si="78"/>
        <v>0</v>
      </c>
      <c r="P122" s="37">
        <f t="shared" ca="1" si="79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0.25" hidden="1" customHeight="1">
      <c r="A123" s="152"/>
      <c r="B123" s="39"/>
      <c r="C123" s="202"/>
      <c r="D123" s="39"/>
      <c r="E123" s="40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44">
        <f t="shared" si="78"/>
        <v>0</v>
      </c>
      <c r="P123" s="44">
        <f t="shared" si="79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20.25" hidden="1" customHeight="1">
      <c r="A124" s="152"/>
      <c r="B124" s="39"/>
      <c r="C124" s="202"/>
      <c r="D124" s="39"/>
      <c r="E124" s="40" t="s">
        <v>37</v>
      </c>
      <c r="F124" s="39"/>
      <c r="G124" s="153"/>
      <c r="H124" s="161" t="s">
        <v>12</v>
      </c>
      <c r="I124" s="162"/>
      <c r="J124" s="162"/>
      <c r="K124" s="163"/>
      <c r="L124" s="44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4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4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4">
        <f t="shared" ca="1" si="78"/>
        <v>0</v>
      </c>
      <c r="P124" s="44">
        <f t="shared" ca="1" si="79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20.25" customHeight="1">
      <c r="A125" s="155"/>
      <c r="B125" s="32"/>
      <c r="C125" s="156"/>
      <c r="D125" s="33" t="s">
        <v>21</v>
      </c>
      <c r="E125" s="32"/>
      <c r="F125" s="32"/>
      <c r="G125" s="34"/>
      <c r="H125" s="164" t="s">
        <v>12</v>
      </c>
      <c r="I125" s="158"/>
      <c r="J125" s="158"/>
      <c r="K125" s="159"/>
      <c r="L125" s="37">
        <f t="shared" ref="L125:N125" ca="1" si="83">L126+L127</f>
        <v>26800</v>
      </c>
      <c r="M125" s="37">
        <f t="shared" ca="1" si="83"/>
        <v>26800</v>
      </c>
      <c r="N125" s="37">
        <f t="shared" ca="1" si="83"/>
        <v>26800</v>
      </c>
      <c r="O125" s="37">
        <f t="shared" ca="1" si="78"/>
        <v>100</v>
      </c>
      <c r="P125" s="37">
        <f t="shared" ca="1" si="79"/>
        <v>100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0.25" hidden="1" customHeight="1">
      <c r="A126" s="152"/>
      <c r="B126" s="39"/>
      <c r="C126" s="160"/>
      <c r="D126" s="39"/>
      <c r="E126" s="40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44">
        <f t="shared" si="78"/>
        <v>0</v>
      </c>
      <c r="P126" s="44">
        <f t="shared" si="79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20.25" hidden="1" customHeight="1">
      <c r="A127" s="152"/>
      <c r="B127" s="39"/>
      <c r="C127" s="160"/>
      <c r="D127" s="39"/>
      <c r="E127" s="40" t="s">
        <v>19</v>
      </c>
      <c r="F127" s="39"/>
      <c r="G127" s="153"/>
      <c r="H127" s="165" t="s">
        <v>12</v>
      </c>
      <c r="I127" s="162"/>
      <c r="J127" s="162"/>
      <c r="K127" s="163"/>
      <c r="L127" s="44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4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4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4">
        <f t="shared" ca="1" si="78"/>
        <v>100</v>
      </c>
      <c r="P127" s="44">
        <f t="shared" ca="1" si="79"/>
        <v>100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20.25" customHeight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20.25" customHeight="1">
      <c r="A129" s="134"/>
      <c r="B129" s="135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20.25" customHeight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84">I146</f>
        <v>5</v>
      </c>
      <c r="J130" s="140">
        <f t="shared" ca="1" si="84"/>
        <v>0</v>
      </c>
      <c r="K130" s="141">
        <f t="shared" ref="K130:K131" ca="1" si="85">IF(I130&gt;0,J130*100/I130,0)</f>
        <v>0</v>
      </c>
      <c r="L130" s="142"/>
      <c r="M130" s="142"/>
      <c r="N130" s="142"/>
      <c r="O130" s="142"/>
      <c r="P130" s="142"/>
    </row>
    <row r="131" spans="1:26" ht="20.25" customHeight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86">I143</f>
        <v>50</v>
      </c>
      <c r="J131" s="140">
        <f t="shared" ca="1" si="86"/>
        <v>0</v>
      </c>
      <c r="K131" s="141">
        <f t="shared" ca="1" si="85"/>
        <v>0</v>
      </c>
      <c r="L131" s="142"/>
      <c r="M131" s="142"/>
      <c r="N131" s="142"/>
      <c r="O131" s="142"/>
      <c r="P131" s="142"/>
    </row>
    <row r="132" spans="1:26" ht="20.25" customHeight="1">
      <c r="A132" s="143"/>
      <c r="B132" s="144"/>
      <c r="C132" s="145" t="s">
        <v>16</v>
      </c>
      <c r="D132" s="146" t="s">
        <v>17</v>
      </c>
      <c r="E132" s="144"/>
      <c r="F132" s="144"/>
      <c r="G132" s="147"/>
      <c r="H132" s="148" t="s">
        <v>12</v>
      </c>
      <c r="I132" s="149"/>
      <c r="J132" s="149"/>
      <c r="K132" s="150"/>
      <c r="L132" s="151">
        <f t="shared" ref="L132:N132" ca="1" si="87">L133+L134</f>
        <v>1169175</v>
      </c>
      <c r="M132" s="151">
        <f t="shared" ca="1" si="87"/>
        <v>873450</v>
      </c>
      <c r="N132" s="151">
        <f t="shared" ca="1" si="87"/>
        <v>711666.45</v>
      </c>
      <c r="O132" s="151">
        <f t="shared" ref="O132:O140" ca="1" si="88">IF(L132&gt;0,N132*100/L132,0)</f>
        <v>60.869112835974086</v>
      </c>
      <c r="P132" s="151">
        <f t="shared" ref="P132:P140" ca="1" si="89">IF(M132&gt;0,N132*100/M132,0)</f>
        <v>81.47764039155075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0.25" hidden="1" customHeight="1">
      <c r="A133" s="152"/>
      <c r="B133" s="39"/>
      <c r="C133" s="39"/>
      <c r="D133" s="39"/>
      <c r="E133" s="40" t="s">
        <v>18</v>
      </c>
      <c r="F133" s="39"/>
      <c r="G133" s="153"/>
      <c r="H133" s="154" t="s">
        <v>12</v>
      </c>
      <c r="I133" s="43"/>
      <c r="J133" s="43"/>
      <c r="K133" s="44"/>
      <c r="L133" s="44">
        <f t="shared" ref="L133:N133" si="90">L136+L139</f>
        <v>0</v>
      </c>
      <c r="M133" s="44">
        <f t="shared" si="90"/>
        <v>0</v>
      </c>
      <c r="N133" s="44">
        <f t="shared" si="90"/>
        <v>0</v>
      </c>
      <c r="O133" s="44">
        <f t="shared" si="88"/>
        <v>0</v>
      </c>
      <c r="P133" s="44">
        <f t="shared" si="89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20.25" hidden="1" customHeight="1">
      <c r="A134" s="152"/>
      <c r="B134" s="39"/>
      <c r="C134" s="39"/>
      <c r="D134" s="39"/>
      <c r="E134" s="40" t="s">
        <v>19</v>
      </c>
      <c r="F134" s="39"/>
      <c r="G134" s="153"/>
      <c r="H134" s="154" t="s">
        <v>12</v>
      </c>
      <c r="I134" s="43"/>
      <c r="J134" s="43"/>
      <c r="K134" s="44"/>
      <c r="L134" s="44">
        <f t="shared" ref="L134:N134" ca="1" si="91">L137+L140</f>
        <v>1169175</v>
      </c>
      <c r="M134" s="44">
        <f t="shared" ca="1" si="91"/>
        <v>873450</v>
      </c>
      <c r="N134" s="44">
        <f t="shared" ca="1" si="91"/>
        <v>711666.45</v>
      </c>
      <c r="O134" s="44">
        <f t="shared" ca="1" si="88"/>
        <v>60.869112835974086</v>
      </c>
      <c r="P134" s="44">
        <f t="shared" ca="1" si="89"/>
        <v>81.47764039155075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20.25" customHeight="1">
      <c r="A135" s="155"/>
      <c r="B135" s="32"/>
      <c r="C135" s="156"/>
      <c r="D135" s="33" t="s">
        <v>20</v>
      </c>
      <c r="E135" s="32"/>
      <c r="F135" s="32"/>
      <c r="G135" s="34"/>
      <c r="H135" s="157" t="s">
        <v>12</v>
      </c>
      <c r="I135" s="158"/>
      <c r="J135" s="158"/>
      <c r="K135" s="159"/>
      <c r="L135" s="37">
        <f t="shared" ref="L135:N135" ca="1" si="92">L136+L137</f>
        <v>654175</v>
      </c>
      <c r="M135" s="37">
        <f t="shared" ca="1" si="92"/>
        <v>358450</v>
      </c>
      <c r="N135" s="37">
        <f t="shared" ca="1" si="92"/>
        <v>196666.45</v>
      </c>
      <c r="O135" s="37">
        <f t="shared" ca="1" si="88"/>
        <v>30.06327817480032</v>
      </c>
      <c r="P135" s="37">
        <f t="shared" ca="1" si="89"/>
        <v>54.865797182312733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0.25" hidden="1" customHeight="1">
      <c r="A136" s="152"/>
      <c r="B136" s="39"/>
      <c r="C136" s="160"/>
      <c r="D136" s="39"/>
      <c r="E136" s="40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44">
        <f t="shared" si="88"/>
        <v>0</v>
      </c>
      <c r="P136" s="44">
        <f t="shared" si="89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20.25" hidden="1" customHeight="1">
      <c r="A137" s="152"/>
      <c r="B137" s="39"/>
      <c r="C137" s="160"/>
      <c r="D137" s="39"/>
      <c r="E137" s="40" t="s">
        <v>37</v>
      </c>
      <c r="F137" s="39"/>
      <c r="G137" s="153"/>
      <c r="H137" s="161" t="s">
        <v>12</v>
      </c>
      <c r="I137" s="162"/>
      <c r="J137" s="162"/>
      <c r="K137" s="163"/>
      <c r="L137" s="44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4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"),358450)</f>
        <v>358450</v>
      </c>
      <c r="N137" s="44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"),196666.45)</f>
        <v>196666.45</v>
      </c>
      <c r="O137" s="44">
        <f t="shared" ca="1" si="88"/>
        <v>30.06327817480032</v>
      </c>
      <c r="P137" s="44">
        <f t="shared" ca="1" si="89"/>
        <v>54.865797182312733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20.25" customHeight="1">
      <c r="A138" s="155"/>
      <c r="B138" s="32"/>
      <c r="C138" s="156"/>
      <c r="D138" s="33" t="s">
        <v>21</v>
      </c>
      <c r="E138" s="32"/>
      <c r="F138" s="32"/>
      <c r="G138" s="34"/>
      <c r="H138" s="164" t="s">
        <v>12</v>
      </c>
      <c r="I138" s="158"/>
      <c r="J138" s="158"/>
      <c r="K138" s="159"/>
      <c r="L138" s="37">
        <f t="shared" ref="L138:N138" ca="1" si="93">L139+L140</f>
        <v>515000</v>
      </c>
      <c r="M138" s="37">
        <f t="shared" ca="1" si="93"/>
        <v>515000</v>
      </c>
      <c r="N138" s="37">
        <f t="shared" ca="1" si="93"/>
        <v>515000</v>
      </c>
      <c r="O138" s="37">
        <f t="shared" ca="1" si="88"/>
        <v>100</v>
      </c>
      <c r="P138" s="37">
        <f t="shared" ca="1" si="89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0.25" hidden="1" customHeight="1">
      <c r="A139" s="152"/>
      <c r="B139" s="39"/>
      <c r="C139" s="160"/>
      <c r="D139" s="39"/>
      <c r="E139" s="40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44">
        <f t="shared" si="88"/>
        <v>0</v>
      </c>
      <c r="P139" s="44">
        <f t="shared" si="89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20.25" hidden="1" customHeight="1">
      <c r="A140" s="152"/>
      <c r="B140" s="39"/>
      <c r="C140" s="160"/>
      <c r="D140" s="39"/>
      <c r="E140" s="40" t="s">
        <v>19</v>
      </c>
      <c r="F140" s="39"/>
      <c r="G140" s="153"/>
      <c r="H140" s="165" t="s">
        <v>12</v>
      </c>
      <c r="I140" s="162"/>
      <c r="J140" s="162"/>
      <c r="K140" s="163"/>
      <c r="L140" s="44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4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4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4">
        <f t="shared" ca="1" si="88"/>
        <v>100</v>
      </c>
      <c r="P140" s="44">
        <f t="shared" ca="1" si="89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20.25" customHeight="1">
      <c r="A141" s="166"/>
      <c r="B141" s="167"/>
      <c r="C141" s="145" t="s">
        <v>16</v>
      </c>
      <c r="D141" s="168" t="s">
        <v>38</v>
      </c>
      <c r="E141" s="169"/>
      <c r="F141" s="169"/>
      <c r="G141" s="170"/>
      <c r="H141" s="164"/>
      <c r="I141" s="36"/>
      <c r="J141" s="36"/>
      <c r="K141" s="37"/>
      <c r="L141" s="37"/>
      <c r="M141" s="37"/>
      <c r="N141" s="37"/>
      <c r="O141" s="37"/>
      <c r="P141" s="37"/>
    </row>
    <row r="142" spans="1:26" ht="20.25" customHeight="1">
      <c r="A142" s="155"/>
      <c r="B142" s="32"/>
      <c r="C142" s="206"/>
      <c r="D142" s="207" t="s">
        <v>71</v>
      </c>
      <c r="E142" s="208"/>
      <c r="F142" s="32"/>
      <c r="G142" s="209"/>
      <c r="H142" s="164"/>
      <c r="I142" s="36"/>
      <c r="J142" s="210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"),0)</f>
        <v>0</v>
      </c>
      <c r="K142" s="37"/>
      <c r="L142" s="37"/>
      <c r="M142" s="37"/>
      <c r="N142" s="37"/>
      <c r="O142" s="37"/>
      <c r="P142" s="37"/>
    </row>
    <row r="143" spans="1:26" ht="20.25" customHeight="1">
      <c r="A143" s="155"/>
      <c r="B143" s="32"/>
      <c r="C143" s="206"/>
      <c r="D143" s="211" t="s">
        <v>72</v>
      </c>
      <c r="E143" s="208"/>
      <c r="F143" s="32"/>
      <c r="G143" s="209"/>
      <c r="H143" s="164" t="s">
        <v>35</v>
      </c>
      <c r="I143" s="36">
        <f ca="1">I145</f>
        <v>50</v>
      </c>
      <c r="J143" s="36">
        <f ca="1">IF(AND(J144&gt;=I144,J145&gt;=I145),J145,0)</f>
        <v>0</v>
      </c>
      <c r="K143" s="37">
        <f t="shared" ref="K143:K146" ca="1" si="94">IF(I143&gt;0,J143*100/I143,0)</f>
        <v>0</v>
      </c>
      <c r="L143" s="37"/>
      <c r="M143" s="37"/>
      <c r="N143" s="37"/>
      <c r="O143" s="37"/>
      <c r="P143" s="37"/>
    </row>
    <row r="144" spans="1:26" ht="20.25" customHeight="1">
      <c r="A144" s="155"/>
      <c r="B144" s="32"/>
      <c r="C144" s="206"/>
      <c r="D144" s="174"/>
      <c r="E144" s="207" t="s">
        <v>73</v>
      </c>
      <c r="F144" s="32"/>
      <c r="G144" s="209"/>
      <c r="H144" s="164" t="s">
        <v>35</v>
      </c>
      <c r="I144" s="36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79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"),40)</f>
        <v>40</v>
      </c>
      <c r="K144" s="37">
        <f t="shared" ca="1" si="94"/>
        <v>160</v>
      </c>
      <c r="L144" s="37"/>
      <c r="M144" s="37"/>
      <c r="N144" s="37"/>
      <c r="O144" s="37"/>
      <c r="P144" s="37"/>
    </row>
    <row r="145" spans="1:26" ht="20.25" customHeight="1">
      <c r="A145" s="155"/>
      <c r="B145" s="32"/>
      <c r="C145" s="206"/>
      <c r="D145" s="174"/>
      <c r="E145" s="207" t="s">
        <v>74</v>
      </c>
      <c r="F145" s="32"/>
      <c r="G145" s="209"/>
      <c r="H145" s="164" t="s">
        <v>35</v>
      </c>
      <c r="I145" s="36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79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"),40)</f>
        <v>40</v>
      </c>
      <c r="K145" s="37">
        <f t="shared" ca="1" si="94"/>
        <v>80</v>
      </c>
      <c r="L145" s="37"/>
      <c r="M145" s="37"/>
      <c r="N145" s="37"/>
      <c r="O145" s="37"/>
      <c r="P145" s="37"/>
    </row>
    <row r="146" spans="1:26" ht="20.25" customHeight="1">
      <c r="A146" s="155"/>
      <c r="B146" s="32"/>
      <c r="C146" s="206"/>
      <c r="D146" s="207" t="s">
        <v>75</v>
      </c>
      <c r="E146" s="208"/>
      <c r="F146" s="32"/>
      <c r="G146" s="209"/>
      <c r="H146" s="164" t="s">
        <v>69</v>
      </c>
      <c r="I146" s="36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79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"),0)</f>
        <v>0</v>
      </c>
      <c r="K146" s="37">
        <f t="shared" ca="1" si="94"/>
        <v>0</v>
      </c>
      <c r="L146" s="37"/>
      <c r="M146" s="37"/>
      <c r="N146" s="37"/>
      <c r="O146" s="37"/>
      <c r="P146" s="37"/>
    </row>
    <row r="147" spans="1:26" ht="20.25" customHeight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20.25" customHeight="1">
      <c r="A148" s="212"/>
      <c r="B148" s="135" t="s">
        <v>77</v>
      </c>
      <c r="C148" s="204"/>
      <c r="D148" s="204"/>
      <c r="E148" s="213"/>
      <c r="F148" s="214"/>
      <c r="G148" s="215"/>
      <c r="H148" s="216" t="s">
        <v>35</v>
      </c>
      <c r="I148" s="140">
        <f t="shared" ref="I148:J148" ca="1" si="95">I159</f>
        <v>150</v>
      </c>
      <c r="J148" s="140">
        <f t="shared" ca="1" si="95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20.25" customHeight="1">
      <c r="A149" s="143"/>
      <c r="B149" s="144"/>
      <c r="C149" s="145" t="s">
        <v>16</v>
      </c>
      <c r="D149" s="146" t="s">
        <v>17</v>
      </c>
      <c r="E149" s="144"/>
      <c r="F149" s="144"/>
      <c r="G149" s="147"/>
      <c r="H149" s="148" t="s">
        <v>12</v>
      </c>
      <c r="I149" s="149"/>
      <c r="J149" s="149"/>
      <c r="K149" s="150"/>
      <c r="L149" s="151">
        <f t="shared" ref="L149:N149" ca="1" si="96">L150+L151</f>
        <v>75000</v>
      </c>
      <c r="M149" s="151">
        <f t="shared" ca="1" si="96"/>
        <v>75000</v>
      </c>
      <c r="N149" s="151">
        <f t="shared" ca="1" si="96"/>
        <v>2660</v>
      </c>
      <c r="O149" s="151">
        <f t="shared" ref="O149:O157" ca="1" si="97">IF(L149&gt;0,N149*100/L149,0)</f>
        <v>3.5466666666666669</v>
      </c>
      <c r="P149" s="151">
        <f t="shared" ref="P149:P157" ca="1" si="98">IF(M149&gt;0,N149*100/M149,0)</f>
        <v>3.5466666666666669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0.25" hidden="1" customHeight="1">
      <c r="A150" s="152"/>
      <c r="B150" s="39"/>
      <c r="C150" s="39"/>
      <c r="D150" s="39"/>
      <c r="E150" s="40" t="s">
        <v>18</v>
      </c>
      <c r="F150" s="39"/>
      <c r="G150" s="153"/>
      <c r="H150" s="154" t="s">
        <v>12</v>
      </c>
      <c r="I150" s="43"/>
      <c r="J150" s="43"/>
      <c r="K150" s="44"/>
      <c r="L150" s="44">
        <f t="shared" ref="L150:N150" si="99">L153+L156</f>
        <v>0</v>
      </c>
      <c r="M150" s="44">
        <f t="shared" si="99"/>
        <v>0</v>
      </c>
      <c r="N150" s="44">
        <f t="shared" si="99"/>
        <v>0</v>
      </c>
      <c r="O150" s="44">
        <f t="shared" si="97"/>
        <v>0</v>
      </c>
      <c r="P150" s="44">
        <f t="shared" si="98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20.25" hidden="1" customHeight="1">
      <c r="A151" s="152"/>
      <c r="B151" s="39"/>
      <c r="C151" s="39"/>
      <c r="D151" s="39"/>
      <c r="E151" s="40" t="s">
        <v>19</v>
      </c>
      <c r="F151" s="39"/>
      <c r="G151" s="153"/>
      <c r="H151" s="154" t="s">
        <v>12</v>
      </c>
      <c r="I151" s="43"/>
      <c r="J151" s="43"/>
      <c r="K151" s="44"/>
      <c r="L151" s="44">
        <f t="shared" ref="L151:N151" ca="1" si="100">L154+L157</f>
        <v>75000</v>
      </c>
      <c r="M151" s="44">
        <f t="shared" ca="1" si="100"/>
        <v>75000</v>
      </c>
      <c r="N151" s="44">
        <f t="shared" ca="1" si="100"/>
        <v>2660</v>
      </c>
      <c r="O151" s="44">
        <f t="shared" ca="1" si="97"/>
        <v>3.5466666666666669</v>
      </c>
      <c r="P151" s="44">
        <f t="shared" ca="1" si="98"/>
        <v>3.5466666666666669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20.25" customHeight="1">
      <c r="A152" s="155"/>
      <c r="B152" s="32"/>
      <c r="C152" s="156"/>
      <c r="D152" s="33" t="s">
        <v>20</v>
      </c>
      <c r="E152" s="32"/>
      <c r="F152" s="32"/>
      <c r="G152" s="34"/>
      <c r="H152" s="157" t="s">
        <v>12</v>
      </c>
      <c r="I152" s="158"/>
      <c r="J152" s="158"/>
      <c r="K152" s="159"/>
      <c r="L152" s="37">
        <f t="shared" ref="L152:N152" ca="1" si="101">L153+L154</f>
        <v>75000</v>
      </c>
      <c r="M152" s="37">
        <f t="shared" ca="1" si="101"/>
        <v>75000</v>
      </c>
      <c r="N152" s="37">
        <f t="shared" ca="1" si="101"/>
        <v>2660</v>
      </c>
      <c r="O152" s="37">
        <f t="shared" ca="1" si="97"/>
        <v>3.5466666666666669</v>
      </c>
      <c r="P152" s="37">
        <f t="shared" ca="1" si="98"/>
        <v>3.5466666666666669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0.25" hidden="1" customHeight="1">
      <c r="A153" s="152"/>
      <c r="B153" s="39"/>
      <c r="C153" s="160"/>
      <c r="D153" s="39"/>
      <c r="E153" s="40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44">
        <f t="shared" si="97"/>
        <v>0</v>
      </c>
      <c r="P153" s="44">
        <f t="shared" si="98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20.25" hidden="1" customHeight="1">
      <c r="A154" s="152"/>
      <c r="B154" s="39"/>
      <c r="C154" s="160"/>
      <c r="D154" s="39"/>
      <c r="E154" s="40" t="s">
        <v>37</v>
      </c>
      <c r="F154" s="39"/>
      <c r="G154" s="153"/>
      <c r="H154" s="161" t="s">
        <v>12</v>
      </c>
      <c r="I154" s="162"/>
      <c r="J154" s="162"/>
      <c r="K154" s="163"/>
      <c r="L154" s="44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4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"),75000)</f>
        <v>75000</v>
      </c>
      <c r="N154" s="44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"),2660)</f>
        <v>2660</v>
      </c>
      <c r="O154" s="44">
        <f t="shared" ca="1" si="97"/>
        <v>3.5466666666666669</v>
      </c>
      <c r="P154" s="44">
        <f t="shared" ca="1" si="98"/>
        <v>3.5466666666666669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20.25" customHeight="1">
      <c r="A155" s="155"/>
      <c r="B155" s="32"/>
      <c r="C155" s="156"/>
      <c r="D155" s="33" t="s">
        <v>21</v>
      </c>
      <c r="E155" s="32"/>
      <c r="F155" s="32"/>
      <c r="G155" s="34"/>
      <c r="H155" s="164" t="s">
        <v>12</v>
      </c>
      <c r="I155" s="158"/>
      <c r="J155" s="158"/>
      <c r="K155" s="159"/>
      <c r="L155" s="37">
        <f t="shared" ref="L155:N155" ca="1" si="102">L156+L157</f>
        <v>0</v>
      </c>
      <c r="M155" s="37">
        <f t="shared" ca="1" si="102"/>
        <v>0</v>
      </c>
      <c r="N155" s="37">
        <f t="shared" ca="1" si="102"/>
        <v>0</v>
      </c>
      <c r="O155" s="37">
        <f t="shared" ca="1" si="97"/>
        <v>0</v>
      </c>
      <c r="P155" s="37">
        <f t="shared" ca="1" si="98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0.25" hidden="1" customHeight="1">
      <c r="A156" s="152"/>
      <c r="B156" s="39"/>
      <c r="C156" s="160"/>
      <c r="D156" s="39"/>
      <c r="E156" s="40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44">
        <f t="shared" si="97"/>
        <v>0</v>
      </c>
      <c r="P156" s="44">
        <f t="shared" si="98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20.25" hidden="1" customHeight="1">
      <c r="A157" s="152"/>
      <c r="B157" s="39"/>
      <c r="C157" s="160"/>
      <c r="D157" s="39"/>
      <c r="E157" s="40" t="s">
        <v>19</v>
      </c>
      <c r="F157" s="39"/>
      <c r="G157" s="153"/>
      <c r="H157" s="165" t="s">
        <v>12</v>
      </c>
      <c r="I157" s="162"/>
      <c r="J157" s="162"/>
      <c r="K157" s="163"/>
      <c r="L157" s="44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4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4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4">
        <f t="shared" ca="1" si="97"/>
        <v>0</v>
      </c>
      <c r="P157" s="44">
        <f t="shared" ca="1" si="98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20.25" customHeight="1">
      <c r="A158" s="166"/>
      <c r="B158" s="167"/>
      <c r="C158" s="160" t="s">
        <v>16</v>
      </c>
      <c r="D158" s="168" t="s">
        <v>38</v>
      </c>
      <c r="E158" s="169"/>
      <c r="F158" s="169"/>
      <c r="G158" s="170"/>
      <c r="H158" s="164"/>
      <c r="I158" s="36"/>
      <c r="J158" s="36"/>
      <c r="K158" s="37"/>
      <c r="L158" s="37"/>
      <c r="M158" s="37"/>
      <c r="N158" s="37"/>
      <c r="O158" s="37"/>
      <c r="P158" s="37"/>
    </row>
    <row r="159" spans="1:26" ht="20.25" customHeight="1">
      <c r="A159" s="155"/>
      <c r="B159" s="32"/>
      <c r="C159" s="206"/>
      <c r="D159" s="211" t="s">
        <v>78</v>
      </c>
      <c r="E159" s="208"/>
      <c r="F159" s="32"/>
      <c r="G159" s="209"/>
      <c r="H159" s="164" t="s">
        <v>35</v>
      </c>
      <c r="I159" s="36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79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"),0)</f>
        <v>0</v>
      </c>
      <c r="K159" s="37">
        <f ca="1">IF(I159&gt;0,J159*100/I159,0)</f>
        <v>0</v>
      </c>
      <c r="L159" s="37"/>
      <c r="M159" s="37"/>
      <c r="N159" s="37"/>
      <c r="O159" s="37"/>
      <c r="P159" s="37"/>
    </row>
    <row r="160" spans="1:26" ht="20.25" hidden="1" customHeight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43"/>
      <c r="J160" s="43"/>
      <c r="K160" s="44"/>
      <c r="L160" s="44"/>
      <c r="M160" s="44"/>
      <c r="N160" s="44"/>
      <c r="O160" s="44"/>
      <c r="P160" s="44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20.25" hidden="1" customHeight="1">
      <c r="A161" s="221"/>
      <c r="B161" s="222"/>
      <c r="C161" s="223"/>
      <c r="D161" s="224" t="s">
        <v>80</v>
      </c>
      <c r="E161" s="225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20.25" customHeight="1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20.25" customHeight="1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20.25" customHeight="1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103">I174+I177</f>
        <v>194</v>
      </c>
      <c r="J164" s="248">
        <f t="shared" ca="1" si="103"/>
        <v>33</v>
      </c>
      <c r="K164" s="249">
        <f ca="1">IF(I164&gt;0,J164*100/I164,0)</f>
        <v>17.010309278350515</v>
      </c>
      <c r="L164" s="249"/>
      <c r="M164" s="249"/>
      <c r="N164" s="249"/>
      <c r="O164" s="249"/>
      <c r="P164" s="249"/>
    </row>
    <row r="165" spans="1:26" ht="20.25" customHeight="1">
      <c r="A165" s="143"/>
      <c r="B165" s="144"/>
      <c r="C165" s="145" t="s">
        <v>16</v>
      </c>
      <c r="D165" s="146" t="s">
        <v>17</v>
      </c>
      <c r="E165" s="144"/>
      <c r="F165" s="144"/>
      <c r="G165" s="147"/>
      <c r="H165" s="148" t="s">
        <v>12</v>
      </c>
      <c r="I165" s="149"/>
      <c r="J165" s="149"/>
      <c r="K165" s="150"/>
      <c r="L165" s="150">
        <f t="shared" ref="L165:N165" ca="1" si="104">L166+L167</f>
        <v>392970</v>
      </c>
      <c r="M165" s="150">
        <f t="shared" ca="1" si="104"/>
        <v>392970</v>
      </c>
      <c r="N165" s="150">
        <f t="shared" ca="1" si="104"/>
        <v>267205</v>
      </c>
      <c r="O165" s="150">
        <f t="shared" ref="O165:O173" ca="1" si="105">IF(L165&gt;0,N165*100/L165,0)</f>
        <v>67.996284703666944</v>
      </c>
      <c r="P165" s="150">
        <f t="shared" ref="P165:P173" ca="1" si="106">IF(M165&gt;0,N165*100/M165,0)</f>
        <v>67.996284703666944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0.25" hidden="1" customHeight="1">
      <c r="A166" s="152"/>
      <c r="B166" s="39"/>
      <c r="C166" s="39"/>
      <c r="D166" s="39"/>
      <c r="E166" s="40" t="s">
        <v>18</v>
      </c>
      <c r="F166" s="39"/>
      <c r="G166" s="153"/>
      <c r="H166" s="154" t="s">
        <v>12</v>
      </c>
      <c r="I166" s="43"/>
      <c r="J166" s="43"/>
      <c r="K166" s="44"/>
      <c r="L166" s="44">
        <f t="shared" ref="L166:N166" si="107">L169+L172</f>
        <v>0</v>
      </c>
      <c r="M166" s="44">
        <f t="shared" si="107"/>
        <v>0</v>
      </c>
      <c r="N166" s="44">
        <f t="shared" si="107"/>
        <v>0</v>
      </c>
      <c r="O166" s="44">
        <f t="shared" si="105"/>
        <v>0</v>
      </c>
      <c r="P166" s="44">
        <f t="shared" si="10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20.25" hidden="1" customHeight="1">
      <c r="A167" s="152"/>
      <c r="B167" s="39"/>
      <c r="C167" s="39"/>
      <c r="D167" s="39"/>
      <c r="E167" s="40" t="s">
        <v>19</v>
      </c>
      <c r="F167" s="39"/>
      <c r="G167" s="153"/>
      <c r="H167" s="154" t="s">
        <v>12</v>
      </c>
      <c r="I167" s="43"/>
      <c r="J167" s="43"/>
      <c r="K167" s="44"/>
      <c r="L167" s="44">
        <f t="shared" ref="L167:N167" ca="1" si="108">L170+L173</f>
        <v>392970</v>
      </c>
      <c r="M167" s="44">
        <f t="shared" ca="1" si="108"/>
        <v>392970</v>
      </c>
      <c r="N167" s="44">
        <f t="shared" ca="1" si="108"/>
        <v>267205</v>
      </c>
      <c r="O167" s="44">
        <f t="shared" ca="1" si="105"/>
        <v>67.996284703666944</v>
      </c>
      <c r="P167" s="44">
        <f t="shared" ca="1" si="106"/>
        <v>67.996284703666944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20.25" customHeight="1">
      <c r="A168" s="155"/>
      <c r="B168" s="32"/>
      <c r="C168" s="156"/>
      <c r="D168" s="33" t="s">
        <v>20</v>
      </c>
      <c r="E168" s="32"/>
      <c r="F168" s="32"/>
      <c r="G168" s="34"/>
      <c r="H168" s="157" t="s">
        <v>12</v>
      </c>
      <c r="I168" s="158"/>
      <c r="J168" s="158"/>
      <c r="K168" s="159"/>
      <c r="L168" s="37">
        <f t="shared" ref="L168:N168" ca="1" si="109">L169+L170</f>
        <v>392970</v>
      </c>
      <c r="M168" s="37">
        <f t="shared" ca="1" si="109"/>
        <v>392970</v>
      </c>
      <c r="N168" s="37">
        <f t="shared" ca="1" si="109"/>
        <v>267205</v>
      </c>
      <c r="O168" s="37">
        <f t="shared" ca="1" si="105"/>
        <v>67.996284703666944</v>
      </c>
      <c r="P168" s="37">
        <f t="shared" ca="1" si="106"/>
        <v>67.996284703666944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0.25" hidden="1" customHeight="1">
      <c r="A169" s="152"/>
      <c r="B169" s="39"/>
      <c r="C169" s="160"/>
      <c r="D169" s="39"/>
      <c r="E169" s="40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44">
        <f t="shared" si="105"/>
        <v>0</v>
      </c>
      <c r="P169" s="44">
        <f t="shared" si="10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20.25" hidden="1" customHeight="1">
      <c r="A170" s="152"/>
      <c r="B170" s="39"/>
      <c r="C170" s="160"/>
      <c r="D170" s="39"/>
      <c r="E170" s="40" t="s">
        <v>37</v>
      </c>
      <c r="F170" s="39"/>
      <c r="G170" s="153"/>
      <c r="H170" s="161" t="s">
        <v>12</v>
      </c>
      <c r="I170" s="162"/>
      <c r="J170" s="162"/>
      <c r="K170" s="163"/>
      <c r="L170" s="44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4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"),392970)</f>
        <v>392970</v>
      </c>
      <c r="N170" s="44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"),267205)</f>
        <v>267205</v>
      </c>
      <c r="O170" s="44">
        <f t="shared" ca="1" si="105"/>
        <v>67.996284703666944</v>
      </c>
      <c r="P170" s="44">
        <f t="shared" ca="1" si="106"/>
        <v>67.996284703666944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20.25" customHeight="1">
      <c r="A171" s="155"/>
      <c r="B171" s="32"/>
      <c r="C171" s="156"/>
      <c r="D171" s="33" t="s">
        <v>21</v>
      </c>
      <c r="E171" s="32"/>
      <c r="F171" s="32"/>
      <c r="G171" s="34"/>
      <c r="H171" s="164" t="s">
        <v>12</v>
      </c>
      <c r="I171" s="158"/>
      <c r="J171" s="158"/>
      <c r="K171" s="159"/>
      <c r="L171" s="37">
        <f t="shared" ref="L171:N171" ca="1" si="110">L172+L173</f>
        <v>0</v>
      </c>
      <c r="M171" s="37">
        <f t="shared" ca="1" si="110"/>
        <v>0</v>
      </c>
      <c r="N171" s="37">
        <f t="shared" ca="1" si="110"/>
        <v>0</v>
      </c>
      <c r="O171" s="37">
        <f t="shared" ca="1" si="105"/>
        <v>0</v>
      </c>
      <c r="P171" s="37">
        <f t="shared" ca="1" si="10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0.25" hidden="1" customHeight="1">
      <c r="A172" s="152"/>
      <c r="B172" s="39"/>
      <c r="C172" s="160"/>
      <c r="D172" s="39"/>
      <c r="E172" s="40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44">
        <f t="shared" si="105"/>
        <v>0</v>
      </c>
      <c r="P172" s="44">
        <f t="shared" si="10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20.25" hidden="1" customHeight="1">
      <c r="A173" s="152"/>
      <c r="B173" s="39"/>
      <c r="C173" s="160"/>
      <c r="D173" s="39"/>
      <c r="E173" s="40" t="s">
        <v>19</v>
      </c>
      <c r="F173" s="39"/>
      <c r="G173" s="153"/>
      <c r="H173" s="165" t="s">
        <v>12</v>
      </c>
      <c r="I173" s="162"/>
      <c r="J173" s="162"/>
      <c r="K173" s="163"/>
      <c r="L173" s="44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4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4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4">
        <f t="shared" ca="1" si="105"/>
        <v>0</v>
      </c>
      <c r="P173" s="44">
        <f t="shared" ca="1" si="10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20.25" customHeight="1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111">I176</f>
        <v>194</v>
      </c>
      <c r="J174" s="255">
        <f t="shared" ca="1" si="111"/>
        <v>33</v>
      </c>
      <c r="K174" s="256">
        <f ca="1">IF(I174&gt;0,J174*100/I174,0)</f>
        <v>17.010309278350515</v>
      </c>
      <c r="L174" s="256"/>
      <c r="M174" s="256"/>
      <c r="N174" s="256"/>
      <c r="O174" s="256"/>
      <c r="P174" s="256"/>
    </row>
    <row r="175" spans="1:26" ht="20.25" customHeight="1">
      <c r="A175" s="166"/>
      <c r="B175" s="167"/>
      <c r="C175" s="160" t="s">
        <v>16</v>
      </c>
      <c r="D175" s="168" t="s">
        <v>38</v>
      </c>
      <c r="E175" s="169"/>
      <c r="F175" s="169"/>
      <c r="G175" s="170"/>
      <c r="H175" s="171"/>
      <c r="I175" s="158"/>
      <c r="J175" s="158"/>
      <c r="K175" s="159"/>
      <c r="L175" s="159"/>
      <c r="M175" s="159"/>
      <c r="N175" s="159"/>
      <c r="O175" s="159"/>
      <c r="P175" s="159"/>
    </row>
    <row r="176" spans="1:26" ht="20.25" customHeight="1">
      <c r="A176" s="166"/>
      <c r="B176" s="167"/>
      <c r="C176" s="167"/>
      <c r="D176" s="257" t="s">
        <v>85</v>
      </c>
      <c r="E176" s="174"/>
      <c r="F176" s="174"/>
      <c r="G176" s="175"/>
      <c r="H176" s="35" t="s">
        <v>35</v>
      </c>
      <c r="I176" s="36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79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"),33)</f>
        <v>33</v>
      </c>
      <c r="K176" s="159">
        <f ca="1">IF(I176&gt;0,J176*100/I176,0)</f>
        <v>17.010309278350515</v>
      </c>
      <c r="L176" s="159"/>
      <c r="M176" s="159"/>
      <c r="N176" s="159"/>
      <c r="O176" s="159"/>
      <c r="P176" s="159"/>
    </row>
    <row r="177" spans="1:26" ht="20.25" hidden="1" customHeight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20.25" hidden="1" customHeight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171"/>
      <c r="I178" s="158"/>
      <c r="J178" s="158"/>
      <c r="K178" s="159"/>
      <c r="L178" s="159"/>
      <c r="M178" s="159"/>
      <c r="N178" s="159"/>
      <c r="O178" s="159"/>
      <c r="P178" s="159"/>
    </row>
    <row r="179" spans="1:26" ht="20.25" hidden="1" customHeight="1">
      <c r="A179" s="166"/>
      <c r="B179" s="167"/>
      <c r="C179" s="167"/>
      <c r="D179" s="262" t="s">
        <v>87</v>
      </c>
      <c r="E179" s="174"/>
      <c r="F179" s="263"/>
      <c r="G179" s="175"/>
      <c r="H179" s="42" t="s">
        <v>35</v>
      </c>
      <c r="I179" s="36"/>
      <c r="J179" s="264"/>
      <c r="K179" s="159"/>
      <c r="L179" s="159"/>
      <c r="M179" s="159"/>
      <c r="N179" s="159"/>
      <c r="O179" s="159"/>
      <c r="P179" s="159"/>
    </row>
    <row r="180" spans="1:26" ht="20.25" customHeight="1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 ca="1">J225+J226</f>
        <v>100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20.25" customHeight="1">
      <c r="A181" s="143"/>
      <c r="B181" s="144"/>
      <c r="C181" s="145" t="s">
        <v>16</v>
      </c>
      <c r="D181" s="146" t="s">
        <v>17</v>
      </c>
      <c r="E181" s="144"/>
      <c r="F181" s="144"/>
      <c r="G181" s="147"/>
      <c r="H181" s="148" t="s">
        <v>12</v>
      </c>
      <c r="I181" s="149"/>
      <c r="J181" s="149"/>
      <c r="K181" s="150"/>
      <c r="L181" s="151">
        <f t="shared" ref="L181:N181" ca="1" si="112">L182+L183</f>
        <v>4809700</v>
      </c>
      <c r="M181" s="151">
        <f t="shared" ca="1" si="112"/>
        <v>2358700</v>
      </c>
      <c r="N181" s="151">
        <f t="shared" ca="1" si="112"/>
        <v>778348.44</v>
      </c>
      <c r="O181" s="151">
        <f t="shared" ref="O181:O189" ca="1" si="113">IF(L181&gt;0,N181*100/L181,0)</f>
        <v>16.182889577312515</v>
      </c>
      <c r="P181" s="151">
        <f t="shared" ref="P181:P189" ca="1" si="114">IF(M181&gt;0,N181*100/M181,0)</f>
        <v>32.999043540933563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0.25" hidden="1" customHeight="1">
      <c r="A182" s="152"/>
      <c r="B182" s="39"/>
      <c r="C182" s="39"/>
      <c r="D182" s="39"/>
      <c r="E182" s="40" t="s">
        <v>18</v>
      </c>
      <c r="F182" s="39"/>
      <c r="G182" s="153"/>
      <c r="H182" s="154" t="s">
        <v>12</v>
      </c>
      <c r="I182" s="43"/>
      <c r="J182" s="43"/>
      <c r="K182" s="44"/>
      <c r="L182" s="44">
        <f t="shared" ref="L182:N182" si="115">L185+L188</f>
        <v>0</v>
      </c>
      <c r="M182" s="44">
        <f t="shared" si="115"/>
        <v>0</v>
      </c>
      <c r="N182" s="44">
        <f t="shared" si="115"/>
        <v>0</v>
      </c>
      <c r="O182" s="44">
        <f t="shared" si="113"/>
        <v>0</v>
      </c>
      <c r="P182" s="44">
        <f t="shared" si="114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20.25" hidden="1" customHeight="1">
      <c r="A183" s="152"/>
      <c r="B183" s="39"/>
      <c r="C183" s="39"/>
      <c r="D183" s="39"/>
      <c r="E183" s="40" t="s">
        <v>19</v>
      </c>
      <c r="F183" s="39"/>
      <c r="G183" s="153"/>
      <c r="H183" s="154" t="s">
        <v>12</v>
      </c>
      <c r="I183" s="43"/>
      <c r="J183" s="43"/>
      <c r="K183" s="44"/>
      <c r="L183" s="44">
        <f t="shared" ref="L183:N183" ca="1" si="116">L186+L189</f>
        <v>4809700</v>
      </c>
      <c r="M183" s="44">
        <f t="shared" ca="1" si="116"/>
        <v>2358700</v>
      </c>
      <c r="N183" s="44">
        <f t="shared" ca="1" si="116"/>
        <v>778348.44</v>
      </c>
      <c r="O183" s="44">
        <f t="shared" ca="1" si="113"/>
        <v>16.182889577312515</v>
      </c>
      <c r="P183" s="44">
        <f t="shared" ca="1" si="114"/>
        <v>32.999043540933563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20.25" customHeight="1">
      <c r="A184" s="155"/>
      <c r="B184" s="32"/>
      <c r="C184" s="156"/>
      <c r="D184" s="33" t="s">
        <v>20</v>
      </c>
      <c r="E184" s="32"/>
      <c r="F184" s="32"/>
      <c r="G184" s="34"/>
      <c r="H184" s="157" t="s">
        <v>12</v>
      </c>
      <c r="I184" s="158"/>
      <c r="J184" s="158"/>
      <c r="K184" s="159"/>
      <c r="L184" s="37">
        <f t="shared" ref="L184:N184" ca="1" si="117">L185+L186</f>
        <v>4809700</v>
      </c>
      <c r="M184" s="37">
        <f t="shared" ca="1" si="117"/>
        <v>2358700</v>
      </c>
      <c r="N184" s="37">
        <f t="shared" ca="1" si="117"/>
        <v>778348.44</v>
      </c>
      <c r="O184" s="37">
        <f t="shared" ca="1" si="113"/>
        <v>16.182889577312515</v>
      </c>
      <c r="P184" s="37">
        <f t="shared" ca="1" si="114"/>
        <v>32.999043540933563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0.25" hidden="1" customHeight="1">
      <c r="A185" s="152"/>
      <c r="B185" s="39"/>
      <c r="C185" s="160"/>
      <c r="D185" s="39"/>
      <c r="E185" s="40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44">
        <f t="shared" si="113"/>
        <v>0</v>
      </c>
      <c r="P185" s="44">
        <f t="shared" si="114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20.25" hidden="1" customHeight="1">
      <c r="A186" s="152"/>
      <c r="B186" s="39"/>
      <c r="C186" s="160"/>
      <c r="D186" s="39"/>
      <c r="E186" s="40" t="s">
        <v>37</v>
      </c>
      <c r="F186" s="39"/>
      <c r="G186" s="153"/>
      <c r="H186" s="161" t="s">
        <v>12</v>
      </c>
      <c r="I186" s="162"/>
      <c r="J186" s="162"/>
      <c r="K186" s="163"/>
      <c r="L186" s="44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4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"),2358700)</f>
        <v>2358700</v>
      </c>
      <c r="N186" s="44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"),778348.44)</f>
        <v>778348.44</v>
      </c>
      <c r="O186" s="44">
        <f t="shared" ca="1" si="113"/>
        <v>16.182889577312515</v>
      </c>
      <c r="P186" s="44">
        <f t="shared" ca="1" si="114"/>
        <v>32.999043540933563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20.25" customHeight="1">
      <c r="A187" s="155"/>
      <c r="B187" s="32"/>
      <c r="C187" s="156"/>
      <c r="D187" s="33" t="s">
        <v>21</v>
      </c>
      <c r="E187" s="32"/>
      <c r="F187" s="32"/>
      <c r="G187" s="34"/>
      <c r="H187" s="164" t="s">
        <v>12</v>
      </c>
      <c r="I187" s="158"/>
      <c r="J187" s="158"/>
      <c r="K187" s="159"/>
      <c r="L187" s="37">
        <f t="shared" ref="L187:N187" ca="1" si="118">L188+L189</f>
        <v>0</v>
      </c>
      <c r="M187" s="37">
        <f t="shared" ca="1" si="118"/>
        <v>0</v>
      </c>
      <c r="N187" s="37">
        <f t="shared" ca="1" si="118"/>
        <v>0</v>
      </c>
      <c r="O187" s="37">
        <f t="shared" ca="1" si="113"/>
        <v>0</v>
      </c>
      <c r="P187" s="37">
        <f t="shared" ca="1" si="114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0.25" hidden="1" customHeight="1">
      <c r="A188" s="152"/>
      <c r="B188" s="39"/>
      <c r="C188" s="160"/>
      <c r="D188" s="39"/>
      <c r="E188" s="40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44">
        <f t="shared" si="113"/>
        <v>0</v>
      </c>
      <c r="P188" s="44">
        <f t="shared" si="114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20.25" hidden="1" customHeight="1">
      <c r="A189" s="152"/>
      <c r="B189" s="39"/>
      <c r="C189" s="160"/>
      <c r="D189" s="39"/>
      <c r="E189" s="40" t="s">
        <v>19</v>
      </c>
      <c r="F189" s="39"/>
      <c r="G189" s="153"/>
      <c r="H189" s="165" t="s">
        <v>12</v>
      </c>
      <c r="I189" s="162"/>
      <c r="J189" s="162"/>
      <c r="K189" s="163"/>
      <c r="L189" s="44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4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4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4">
        <f t="shared" ca="1" si="113"/>
        <v>0</v>
      </c>
      <c r="P189" s="44">
        <f t="shared" ca="1" si="114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20.25" customHeight="1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119">I193</f>
        <v>84</v>
      </c>
      <c r="J190" s="266">
        <f t="shared" ca="1" si="119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20.25" customHeight="1">
      <c r="A191" s="143"/>
      <c r="B191" s="144"/>
      <c r="C191" s="145" t="s">
        <v>16</v>
      </c>
      <c r="D191" s="268" t="s">
        <v>17</v>
      </c>
      <c r="E191" s="144"/>
      <c r="F191" s="144"/>
      <c r="G191" s="147"/>
      <c r="H191" s="269" t="s">
        <v>12</v>
      </c>
      <c r="I191" s="149"/>
      <c r="J191" s="149"/>
      <c r="K191" s="150"/>
      <c r="L191" s="151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1"/>
      <c r="N191" s="270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"),0)</f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0.25" customHeight="1">
      <c r="A192" s="166"/>
      <c r="B192" s="167"/>
      <c r="C192" s="206" t="s">
        <v>16</v>
      </c>
      <c r="D192" s="168" t="s">
        <v>38</v>
      </c>
      <c r="E192" s="169"/>
      <c r="F192" s="169"/>
      <c r="G192" s="170"/>
      <c r="H192" s="171"/>
      <c r="I192" s="36"/>
      <c r="J192" s="36"/>
      <c r="K192" s="37"/>
      <c r="L192" s="37"/>
      <c r="M192" s="37"/>
      <c r="N192" s="37"/>
      <c r="O192" s="37"/>
      <c r="P192" s="37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0.25" customHeight="1">
      <c r="A193" s="166"/>
      <c r="B193" s="167"/>
      <c r="C193" s="167"/>
      <c r="D193" s="177" t="s">
        <v>91</v>
      </c>
      <c r="E193" s="174"/>
      <c r="F193" s="174"/>
      <c r="G193" s="175"/>
      <c r="H193" s="178" t="s">
        <v>90</v>
      </c>
      <c r="I193" s="36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79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"),0)</f>
        <v>0</v>
      </c>
      <c r="K193" s="37">
        <f ca="1">IF(I193&gt;0,J193*100/I193,0)</f>
        <v>0</v>
      </c>
      <c r="L193" s="37"/>
      <c r="M193" s="37"/>
      <c r="N193" s="37"/>
      <c r="O193" s="37"/>
      <c r="P193" s="37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0.25" customHeight="1">
      <c r="A194" s="166"/>
      <c r="B194" s="167"/>
      <c r="C194" s="167"/>
      <c r="D194" s="177" t="s">
        <v>92</v>
      </c>
      <c r="E194" s="174"/>
      <c r="F194" s="174"/>
      <c r="G194" s="175"/>
      <c r="H194" s="271" t="s">
        <v>35</v>
      </c>
      <c r="I194" s="36"/>
      <c r="J194" s="36">
        <f ca="1">J195+J196</f>
        <v>0</v>
      </c>
      <c r="K194" s="37"/>
      <c r="L194" s="37"/>
      <c r="M194" s="37"/>
      <c r="N194" s="37"/>
      <c r="O194" s="37"/>
      <c r="P194" s="37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0.25" customHeight="1">
      <c r="A195" s="166"/>
      <c r="B195" s="167"/>
      <c r="C195" s="167"/>
      <c r="D195" s="167"/>
      <c r="E195" s="177" t="s">
        <v>93</v>
      </c>
      <c r="F195" s="174"/>
      <c r="G195" s="175"/>
      <c r="H195" s="271" t="s">
        <v>35</v>
      </c>
      <c r="I195" s="36"/>
      <c r="J195" s="179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"),0)</f>
        <v>0</v>
      </c>
      <c r="K195" s="37"/>
      <c r="L195" s="37"/>
      <c r="M195" s="37"/>
      <c r="N195" s="37"/>
      <c r="O195" s="37"/>
      <c r="P195" s="37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0.25" customHeight="1">
      <c r="A196" s="166"/>
      <c r="B196" s="167"/>
      <c r="C196" s="167"/>
      <c r="D196" s="167"/>
      <c r="E196" s="177" t="s">
        <v>94</v>
      </c>
      <c r="F196" s="174"/>
      <c r="G196" s="175"/>
      <c r="H196" s="271" t="s">
        <v>35</v>
      </c>
      <c r="I196" s="36"/>
      <c r="J196" s="179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"),0)</f>
        <v>0</v>
      </c>
      <c r="K196" s="37"/>
      <c r="L196" s="37"/>
      <c r="M196" s="37"/>
      <c r="N196" s="37"/>
      <c r="O196" s="37"/>
      <c r="P196" s="37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0.25" customHeight="1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120">I204</f>
        <v>39</v>
      </c>
      <c r="J197" s="266">
        <f t="shared" ca="1" si="120"/>
        <v>9</v>
      </c>
      <c r="K197" s="267">
        <f ca="1">IF(I197&gt;0,J197*100/I197,0)</f>
        <v>23.076923076923077</v>
      </c>
      <c r="L197" s="256"/>
      <c r="M197" s="256"/>
      <c r="N197" s="256"/>
      <c r="O197" s="256"/>
      <c r="P197" s="256"/>
    </row>
    <row r="198" spans="1:26" ht="20.25" customHeight="1">
      <c r="A198" s="143"/>
      <c r="B198" s="144"/>
      <c r="C198" s="145" t="s">
        <v>16</v>
      </c>
      <c r="D198" s="268" t="s">
        <v>17</v>
      </c>
      <c r="E198" s="144"/>
      <c r="F198" s="144"/>
      <c r="G198" s="147"/>
      <c r="H198" s="269" t="s">
        <v>12</v>
      </c>
      <c r="I198" s="273"/>
      <c r="J198" s="273"/>
      <c r="K198" s="274"/>
      <c r="L198" s="151">
        <f ca="1">L199+L200+L201+L202</f>
        <v>517000</v>
      </c>
      <c r="M198" s="151"/>
      <c r="N198" s="151">
        <f ca="1">N199+N200+N201+N202</f>
        <v>51220</v>
      </c>
      <c r="O198" s="151">
        <f ca="1">IF(L198&gt;0,N198*100/L198,0)</f>
        <v>9.9071566731141196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0.25" customHeight="1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58"/>
      <c r="J199" s="158"/>
      <c r="K199" s="159"/>
      <c r="L199" s="277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7"/>
      <c r="N199" s="278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"),3220)</f>
        <v>3220</v>
      </c>
      <c r="O199" s="37"/>
      <c r="P199" s="37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0.25" customHeight="1">
      <c r="A200" s="279"/>
      <c r="B200" s="275"/>
      <c r="C200" s="206"/>
      <c r="D200" s="211" t="s">
        <v>98</v>
      </c>
      <c r="E200" s="32"/>
      <c r="F200" s="32"/>
      <c r="G200" s="34"/>
      <c r="H200" s="280" t="s">
        <v>12</v>
      </c>
      <c r="I200" s="36"/>
      <c r="J200" s="36"/>
      <c r="K200" s="37"/>
      <c r="L200" s="277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7"/>
      <c r="N200" s="278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"),48000)</f>
        <v>48000</v>
      </c>
      <c r="O200" s="37"/>
      <c r="P200" s="37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20.25" customHeight="1">
      <c r="A201" s="279"/>
      <c r="B201" s="275"/>
      <c r="C201" s="206"/>
      <c r="D201" s="211" t="s">
        <v>99</v>
      </c>
      <c r="E201" s="32"/>
      <c r="F201" s="32"/>
      <c r="G201" s="34"/>
      <c r="H201" s="280" t="s">
        <v>12</v>
      </c>
      <c r="I201" s="36"/>
      <c r="J201" s="36"/>
      <c r="K201" s="37"/>
      <c r="L201" s="277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7"/>
      <c r="N201" s="278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"),0)</f>
        <v>0</v>
      </c>
      <c r="O201" s="37"/>
      <c r="P201" s="37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20.25" customHeight="1">
      <c r="A202" s="279"/>
      <c r="B202" s="275"/>
      <c r="C202" s="206"/>
      <c r="D202" s="211" t="s">
        <v>100</v>
      </c>
      <c r="E202" s="32"/>
      <c r="F202" s="32"/>
      <c r="G202" s="34"/>
      <c r="H202" s="280" t="s">
        <v>12</v>
      </c>
      <c r="I202" s="36"/>
      <c r="J202" s="36"/>
      <c r="K202" s="37"/>
      <c r="L202" s="277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7"/>
      <c r="N202" s="278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"),0)</f>
        <v>0</v>
      </c>
      <c r="O202" s="37"/>
      <c r="P202" s="37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20.25" customHeight="1">
      <c r="A203" s="166"/>
      <c r="B203" s="167"/>
      <c r="C203" s="206" t="s">
        <v>16</v>
      </c>
      <c r="D203" s="168" t="s">
        <v>38</v>
      </c>
      <c r="E203" s="169"/>
      <c r="F203" s="169"/>
      <c r="G203" s="170"/>
      <c r="H203" s="171"/>
      <c r="I203" s="158"/>
      <c r="J203" s="158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0.25" customHeight="1">
      <c r="A204" s="166"/>
      <c r="B204" s="167"/>
      <c r="C204" s="167"/>
      <c r="D204" s="172" t="s">
        <v>101</v>
      </c>
      <c r="E204" s="174"/>
      <c r="F204" s="174"/>
      <c r="G204" s="175"/>
      <c r="H204" s="171" t="s">
        <v>96</v>
      </c>
      <c r="I204" s="264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79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"),9)</f>
        <v>9</v>
      </c>
      <c r="K204" s="159">
        <f ca="1">IF(I204&gt;0,J204*100/I204,0)</f>
        <v>23.076923076923077</v>
      </c>
      <c r="L204" s="37"/>
      <c r="M204" s="37"/>
      <c r="N204" s="37"/>
      <c r="O204" s="37"/>
      <c r="P204" s="37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0.25" customHeight="1">
      <c r="A205" s="166"/>
      <c r="B205" s="167"/>
      <c r="C205" s="167"/>
      <c r="D205" s="177" t="s">
        <v>59</v>
      </c>
      <c r="E205" s="174"/>
      <c r="F205" s="174"/>
      <c r="G205" s="175"/>
      <c r="H205" s="171"/>
      <c r="I205" s="36"/>
      <c r="J205" s="36"/>
      <c r="K205" s="159"/>
      <c r="L205" s="37"/>
      <c r="M205" s="37"/>
      <c r="N205" s="37"/>
      <c r="O205" s="37"/>
      <c r="P205" s="37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0.25" customHeight="1">
      <c r="A206" s="166"/>
      <c r="B206" s="167"/>
      <c r="C206" s="167"/>
      <c r="D206" s="174"/>
      <c r="E206" s="193" t="s">
        <v>102</v>
      </c>
      <c r="F206" s="282"/>
      <c r="G206" s="283"/>
      <c r="H206" s="284" t="s">
        <v>96</v>
      </c>
      <c r="I206" s="264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79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"),0)</f>
        <v>0</v>
      </c>
      <c r="K206" s="159"/>
      <c r="L206" s="37"/>
      <c r="M206" s="37"/>
      <c r="N206" s="37"/>
      <c r="O206" s="37"/>
      <c r="P206" s="37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0.25" customHeight="1">
      <c r="A207" s="166"/>
      <c r="B207" s="167"/>
      <c r="C207" s="167"/>
      <c r="D207" s="173"/>
      <c r="E207" s="177" t="s">
        <v>103</v>
      </c>
      <c r="F207" s="174"/>
      <c r="G207" s="174"/>
      <c r="H207" s="285" t="s">
        <v>104</v>
      </c>
      <c r="I207" s="36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79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"),0)</f>
        <v>0</v>
      </c>
      <c r="K207" s="159"/>
      <c r="L207" s="37"/>
      <c r="M207" s="37"/>
      <c r="N207" s="37"/>
      <c r="O207" s="37"/>
      <c r="P207" s="37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0.25" customHeight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21">I215</f>
        <v>17</v>
      </c>
      <c r="J208" s="266">
        <f t="shared" ca="1" si="121"/>
        <v>2</v>
      </c>
      <c r="K208" s="267">
        <f ca="1">IF(I208&gt;0,J208*100/I208,0)</f>
        <v>11.764705882352942</v>
      </c>
      <c r="L208" s="256"/>
      <c r="M208" s="256"/>
      <c r="N208" s="256"/>
      <c r="O208" s="256"/>
      <c r="P208" s="256"/>
    </row>
    <row r="209" spans="1:26" ht="20.25" customHeight="1">
      <c r="A209" s="143"/>
      <c r="B209" s="144"/>
      <c r="C209" s="145" t="s">
        <v>16</v>
      </c>
      <c r="D209" s="268" t="s">
        <v>17</v>
      </c>
      <c r="E209" s="144"/>
      <c r="F209" s="144"/>
      <c r="G209" s="147"/>
      <c r="H209" s="269" t="s">
        <v>12</v>
      </c>
      <c r="I209" s="273"/>
      <c r="J209" s="273"/>
      <c r="K209" s="274"/>
      <c r="L209" s="151">
        <f ca="1">L210+L211+L212</f>
        <v>238000</v>
      </c>
      <c r="M209" s="151"/>
      <c r="N209" s="151">
        <f ca="1">N210+N211+N212</f>
        <v>17680</v>
      </c>
      <c r="O209" s="151">
        <f ca="1">IF(L209&gt;0,N209*100/L209,0)</f>
        <v>7.4285714285714288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0.25" customHeight="1">
      <c r="A210" s="155"/>
      <c r="B210" s="275"/>
      <c r="C210" s="32"/>
      <c r="D210" s="207" t="s">
        <v>97</v>
      </c>
      <c r="E210" s="32"/>
      <c r="F210" s="32"/>
      <c r="G210" s="34"/>
      <c r="H210" s="157" t="s">
        <v>12</v>
      </c>
      <c r="I210" s="158"/>
      <c r="J210" s="158"/>
      <c r="K210" s="159"/>
      <c r="L210" s="37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7"/>
      <c r="N210" s="278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"),1480)</f>
        <v>1480</v>
      </c>
      <c r="O210" s="37"/>
      <c r="P210" s="37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0.25" customHeight="1">
      <c r="A211" s="279"/>
      <c r="B211" s="275"/>
      <c r="C211" s="287"/>
      <c r="D211" s="211" t="s">
        <v>99</v>
      </c>
      <c r="E211" s="32"/>
      <c r="F211" s="32"/>
      <c r="G211" s="34"/>
      <c r="H211" s="157" t="s">
        <v>12</v>
      </c>
      <c r="I211" s="36"/>
      <c r="J211" s="36"/>
      <c r="K211" s="37"/>
      <c r="L211" s="37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7"/>
      <c r="N211" s="278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"),0)</f>
        <v>0</v>
      </c>
      <c r="O211" s="37"/>
      <c r="P211" s="37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20.25" customHeight="1">
      <c r="A212" s="279"/>
      <c r="B212" s="275"/>
      <c r="C212" s="287"/>
      <c r="D212" s="211" t="s">
        <v>98</v>
      </c>
      <c r="E212" s="32"/>
      <c r="F212" s="32"/>
      <c r="G212" s="34"/>
      <c r="H212" s="157" t="s">
        <v>12</v>
      </c>
      <c r="I212" s="36"/>
      <c r="J212" s="36"/>
      <c r="K212" s="37"/>
      <c r="L212" s="37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7"/>
      <c r="N212" s="278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"),16200)</f>
        <v>16200</v>
      </c>
      <c r="O212" s="37"/>
      <c r="P212" s="37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20.25" customHeight="1">
      <c r="A213" s="166"/>
      <c r="B213" s="167"/>
      <c r="C213" s="287" t="s">
        <v>16</v>
      </c>
      <c r="D213" s="168" t="s">
        <v>38</v>
      </c>
      <c r="E213" s="169"/>
      <c r="F213" s="169"/>
      <c r="G213" s="170"/>
      <c r="H213" s="171"/>
      <c r="I213" s="158"/>
      <c r="J213" s="36"/>
      <c r="K213" s="37"/>
      <c r="L213" s="37"/>
      <c r="M213" s="37"/>
      <c r="N213" s="37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0.25" customHeight="1">
      <c r="A214" s="166"/>
      <c r="B214" s="167"/>
      <c r="C214" s="167"/>
      <c r="D214" s="172" t="s">
        <v>106</v>
      </c>
      <c r="E214" s="174"/>
      <c r="F214" s="174"/>
      <c r="G214" s="175"/>
      <c r="H214" s="171" t="s">
        <v>96</v>
      </c>
      <c r="I214" s="36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79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"),0)</f>
        <v>0</v>
      </c>
      <c r="K214" s="37">
        <f t="shared" ref="K214:K216" ca="1" si="122">IF(I214&gt;0,J214*100/I214,0)</f>
        <v>0</v>
      </c>
      <c r="L214" s="37"/>
      <c r="M214" s="37"/>
      <c r="N214" s="37"/>
      <c r="O214" s="37"/>
      <c r="P214" s="37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0.25" customHeight="1">
      <c r="A215" s="166"/>
      <c r="B215" s="167"/>
      <c r="C215" s="167"/>
      <c r="D215" s="172" t="s">
        <v>107</v>
      </c>
      <c r="E215" s="174"/>
      <c r="F215" s="174"/>
      <c r="G215" s="175"/>
      <c r="H215" s="171" t="s">
        <v>96</v>
      </c>
      <c r="I215" s="36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79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"),2)</f>
        <v>2</v>
      </c>
      <c r="K215" s="37">
        <f t="shared" ca="1" si="122"/>
        <v>11.764705882352942</v>
      </c>
      <c r="L215" s="37"/>
      <c r="M215" s="37"/>
      <c r="N215" s="37"/>
      <c r="O215" s="37"/>
      <c r="P215" s="37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0.25" customHeight="1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23">I224</f>
        <v>470200</v>
      </c>
      <c r="J216" s="266">
        <f t="shared" ca="1" si="123"/>
        <v>0</v>
      </c>
      <c r="K216" s="267">
        <f t="shared" ca="1" si="122"/>
        <v>0</v>
      </c>
      <c r="L216" s="256"/>
      <c r="M216" s="256"/>
      <c r="N216" s="256"/>
      <c r="O216" s="256"/>
      <c r="P216" s="256"/>
    </row>
    <row r="217" spans="1:26" ht="20.25" customHeight="1">
      <c r="A217" s="143"/>
      <c r="B217" s="144"/>
      <c r="C217" s="145" t="s">
        <v>16</v>
      </c>
      <c r="D217" s="268" t="s">
        <v>17</v>
      </c>
      <c r="E217" s="144"/>
      <c r="F217" s="144"/>
      <c r="G217" s="147"/>
      <c r="H217" s="269" t="s">
        <v>12</v>
      </c>
      <c r="I217" s="273"/>
      <c r="J217" s="273"/>
      <c r="K217" s="274"/>
      <c r="L217" s="151">
        <f ca="1">L218+L219+L220</f>
        <v>247700</v>
      </c>
      <c r="M217" s="151"/>
      <c r="N217" s="151">
        <f ca="1">N218+N219+N220</f>
        <v>10000</v>
      </c>
      <c r="O217" s="151">
        <f ca="1">IF(L217&gt;0,N217*100/L217,0)</f>
        <v>4.0371417036737993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0.25" customHeight="1">
      <c r="A218" s="155"/>
      <c r="B218" s="275"/>
      <c r="C218" s="32"/>
      <c r="D218" s="207" t="s">
        <v>97</v>
      </c>
      <c r="E218" s="32"/>
      <c r="F218" s="32"/>
      <c r="G218" s="34"/>
      <c r="H218" s="157" t="s">
        <v>12</v>
      </c>
      <c r="I218" s="158"/>
      <c r="J218" s="158"/>
      <c r="K218" s="159"/>
      <c r="L218" s="37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7"/>
      <c r="N218" s="278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"),0)</f>
        <v>0</v>
      </c>
      <c r="O218" s="37"/>
      <c r="P218" s="37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0.25" customHeight="1">
      <c r="A219" s="279"/>
      <c r="B219" s="275"/>
      <c r="C219" s="287"/>
      <c r="D219" s="211" t="s">
        <v>110</v>
      </c>
      <c r="E219" s="32"/>
      <c r="F219" s="32"/>
      <c r="G219" s="34"/>
      <c r="H219" s="157" t="s">
        <v>12</v>
      </c>
      <c r="I219" s="36"/>
      <c r="J219" s="36"/>
      <c r="K219" s="37"/>
      <c r="L219" s="37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7"/>
      <c r="N219" s="278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"),0)</f>
        <v>0</v>
      </c>
      <c r="O219" s="37"/>
      <c r="P219" s="37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20.25" customHeight="1">
      <c r="A220" s="279"/>
      <c r="B220" s="275"/>
      <c r="C220" s="287"/>
      <c r="D220" s="211" t="s">
        <v>98</v>
      </c>
      <c r="E220" s="32"/>
      <c r="F220" s="32"/>
      <c r="G220" s="34"/>
      <c r="H220" s="157" t="s">
        <v>12</v>
      </c>
      <c r="I220" s="36"/>
      <c r="J220" s="36"/>
      <c r="K220" s="37"/>
      <c r="L220" s="37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7"/>
      <c r="N220" s="278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"),10000)</f>
        <v>10000</v>
      </c>
      <c r="O220" s="37"/>
      <c r="P220" s="37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20.25" customHeight="1">
      <c r="A221" s="166"/>
      <c r="B221" s="167"/>
      <c r="C221" s="287" t="s">
        <v>16</v>
      </c>
      <c r="D221" s="168" t="s">
        <v>38</v>
      </c>
      <c r="E221" s="169"/>
      <c r="F221" s="169"/>
      <c r="G221" s="170"/>
      <c r="H221" s="171"/>
      <c r="I221" s="158"/>
      <c r="J221" s="158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0.25" customHeight="1">
      <c r="A222" s="166"/>
      <c r="B222" s="167"/>
      <c r="C222" s="167"/>
      <c r="D222" s="207" t="s">
        <v>111</v>
      </c>
      <c r="E222" s="174"/>
      <c r="F222" s="174"/>
      <c r="G222" s="175"/>
      <c r="H222" s="171"/>
      <c r="I222" s="36"/>
      <c r="J222" s="36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0.25" customHeight="1">
      <c r="A223" s="166"/>
      <c r="B223" s="167"/>
      <c r="C223" s="167"/>
      <c r="D223" s="167"/>
      <c r="E223" s="172" t="s">
        <v>112</v>
      </c>
      <c r="F223" s="174"/>
      <c r="G223" s="175"/>
      <c r="H223" s="178" t="s">
        <v>109</v>
      </c>
      <c r="I223" s="36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79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"),0)</f>
        <v>0</v>
      </c>
      <c r="K223" s="159">
        <f t="shared" ref="K223:K226" ca="1" si="124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0.25" customHeight="1">
      <c r="A224" s="166"/>
      <c r="B224" s="167"/>
      <c r="C224" s="167"/>
      <c r="D224" s="167"/>
      <c r="E224" s="172" t="s">
        <v>113</v>
      </c>
      <c r="F224" s="174"/>
      <c r="G224" s="175"/>
      <c r="H224" s="178" t="s">
        <v>109</v>
      </c>
      <c r="I224" s="36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79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"),0)</f>
        <v>0</v>
      </c>
      <c r="K224" s="159">
        <f t="shared" ca="1" si="124"/>
        <v>0</v>
      </c>
      <c r="L224" s="37"/>
      <c r="M224" s="37"/>
      <c r="N224" s="37"/>
      <c r="O224" s="37"/>
      <c r="P224" s="37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0.25" customHeight="1">
      <c r="A225" s="166"/>
      <c r="B225" s="167"/>
      <c r="C225" s="167"/>
      <c r="D225" s="207" t="s">
        <v>114</v>
      </c>
      <c r="E225" s="174"/>
      <c r="F225" s="174"/>
      <c r="G225" s="175"/>
      <c r="H225" s="178" t="s">
        <v>35</v>
      </c>
      <c r="I225" s="36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79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"),10)</f>
        <v>10</v>
      </c>
      <c r="K225" s="159">
        <f t="shared" ca="1" si="124"/>
        <v>25</v>
      </c>
      <c r="L225" s="37"/>
      <c r="M225" s="37"/>
      <c r="N225" s="37"/>
      <c r="O225" s="37"/>
      <c r="P225" s="37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0.25" customHeight="1">
      <c r="A226" s="288"/>
      <c r="B226" s="289"/>
      <c r="C226" s="290" t="s">
        <v>115</v>
      </c>
      <c r="D226" s="291"/>
      <c r="E226" s="291"/>
      <c r="F226" s="291"/>
      <c r="G226" s="292"/>
      <c r="H226" s="293" t="s">
        <v>35</v>
      </c>
      <c r="I226" s="294">
        <f t="shared" ref="I226:J226" ca="1" si="125">I237+I248</f>
        <v>340</v>
      </c>
      <c r="J226" s="294">
        <f t="shared" ca="1" si="125"/>
        <v>90</v>
      </c>
      <c r="K226" s="295">
        <f t="shared" ca="1" si="124"/>
        <v>26.470588235294116</v>
      </c>
      <c r="L226" s="296"/>
      <c r="M226" s="296"/>
      <c r="N226" s="296"/>
      <c r="O226" s="296"/>
      <c r="P226" s="296"/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</row>
    <row r="227" spans="1:26" ht="20.25" customHeight="1">
      <c r="A227" s="298"/>
      <c r="B227" s="299"/>
      <c r="C227" s="300" t="s">
        <v>16</v>
      </c>
      <c r="D227" s="301" t="s">
        <v>17</v>
      </c>
      <c r="E227" s="299"/>
      <c r="F227" s="299"/>
      <c r="G227" s="302"/>
      <c r="H227" s="303" t="s">
        <v>12</v>
      </c>
      <c r="I227" s="304"/>
      <c r="J227" s="304"/>
      <c r="K227" s="305"/>
      <c r="L227" s="306">
        <f t="shared" ref="L227:L231" ca="1" si="126">L238+L249</f>
        <v>1520400</v>
      </c>
      <c r="M227" s="306"/>
      <c r="N227" s="306">
        <f t="shared" ref="N227:N231" ca="1" si="127">N238+N249</f>
        <v>29073.34</v>
      </c>
      <c r="O227" s="307"/>
      <c r="P227" s="307"/>
      <c r="Q227" s="308"/>
      <c r="R227" s="308"/>
      <c r="S227" s="308"/>
      <c r="T227" s="308"/>
      <c r="U227" s="308"/>
      <c r="V227" s="308"/>
      <c r="W227" s="308"/>
      <c r="X227" s="308"/>
      <c r="Y227" s="308"/>
      <c r="Z227" s="308"/>
    </row>
    <row r="228" spans="1:26" ht="20.25" customHeight="1">
      <c r="A228" s="309"/>
      <c r="B228" s="310"/>
      <c r="C228" s="311"/>
      <c r="D228" s="312" t="s">
        <v>97</v>
      </c>
      <c r="E228" s="311"/>
      <c r="F228" s="311"/>
      <c r="G228" s="313"/>
      <c r="H228" s="314" t="s">
        <v>12</v>
      </c>
      <c r="I228" s="315"/>
      <c r="J228" s="315"/>
      <c r="K228" s="316"/>
      <c r="L228" s="317">
        <f t="shared" ca="1" si="126"/>
        <v>686000</v>
      </c>
      <c r="M228" s="317"/>
      <c r="N228" s="317">
        <f t="shared" ca="1" si="127"/>
        <v>15033.34</v>
      </c>
      <c r="O228" s="317"/>
      <c r="P228" s="317"/>
      <c r="Q228" s="308"/>
      <c r="R228" s="308"/>
      <c r="S228" s="308"/>
      <c r="T228" s="308"/>
      <c r="U228" s="308"/>
      <c r="V228" s="308"/>
      <c r="W228" s="308"/>
      <c r="X228" s="308"/>
      <c r="Y228" s="308"/>
      <c r="Z228" s="308"/>
    </row>
    <row r="229" spans="1:26" ht="20.25" customHeight="1">
      <c r="A229" s="318"/>
      <c r="B229" s="310"/>
      <c r="C229" s="319"/>
      <c r="D229" s="320" t="s">
        <v>98</v>
      </c>
      <c r="E229" s="311"/>
      <c r="F229" s="311"/>
      <c r="G229" s="313"/>
      <c r="H229" s="314" t="s">
        <v>12</v>
      </c>
      <c r="I229" s="321"/>
      <c r="J229" s="321"/>
      <c r="K229" s="317"/>
      <c r="L229" s="317">
        <f t="shared" ca="1" si="126"/>
        <v>431900</v>
      </c>
      <c r="M229" s="317"/>
      <c r="N229" s="317">
        <f t="shared" ca="1" si="127"/>
        <v>14040</v>
      </c>
      <c r="O229" s="317"/>
      <c r="P229" s="317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</row>
    <row r="230" spans="1:26" ht="20.25" customHeight="1">
      <c r="A230" s="318"/>
      <c r="B230" s="310"/>
      <c r="C230" s="319"/>
      <c r="D230" s="320" t="s">
        <v>116</v>
      </c>
      <c r="E230" s="311"/>
      <c r="F230" s="311"/>
      <c r="G230" s="313"/>
      <c r="H230" s="314" t="s">
        <v>12</v>
      </c>
      <c r="I230" s="321"/>
      <c r="J230" s="321"/>
      <c r="K230" s="317"/>
      <c r="L230" s="317">
        <f t="shared" ca="1" si="126"/>
        <v>192500</v>
      </c>
      <c r="M230" s="317"/>
      <c r="N230" s="317">
        <f t="shared" ca="1" si="127"/>
        <v>0</v>
      </c>
      <c r="O230" s="317"/>
      <c r="P230" s="317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</row>
    <row r="231" spans="1:26" ht="20.25" customHeight="1">
      <c r="A231" s="318"/>
      <c r="B231" s="310"/>
      <c r="C231" s="319"/>
      <c r="D231" s="320" t="s">
        <v>100</v>
      </c>
      <c r="E231" s="311"/>
      <c r="F231" s="311"/>
      <c r="G231" s="313"/>
      <c r="H231" s="314" t="s">
        <v>12</v>
      </c>
      <c r="I231" s="321"/>
      <c r="J231" s="321"/>
      <c r="K231" s="317"/>
      <c r="L231" s="317">
        <f t="shared" ca="1" si="126"/>
        <v>210000</v>
      </c>
      <c r="M231" s="317"/>
      <c r="N231" s="317">
        <f t="shared" ca="1" si="127"/>
        <v>0</v>
      </c>
      <c r="O231" s="317"/>
      <c r="P231" s="317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</row>
    <row r="232" spans="1:26" ht="20.25" customHeight="1">
      <c r="A232" s="323"/>
      <c r="B232" s="324"/>
      <c r="C232" s="319" t="s">
        <v>16</v>
      </c>
      <c r="D232" s="325" t="s">
        <v>38</v>
      </c>
      <c r="E232" s="326"/>
      <c r="F232" s="326"/>
      <c r="G232" s="327"/>
      <c r="H232" s="328"/>
      <c r="I232" s="315"/>
      <c r="J232" s="321"/>
      <c r="K232" s="317"/>
      <c r="L232" s="317"/>
      <c r="M232" s="317"/>
      <c r="N232" s="317"/>
      <c r="O232" s="316"/>
      <c r="P232" s="316"/>
      <c r="Q232" s="308"/>
      <c r="R232" s="308"/>
      <c r="S232" s="308"/>
      <c r="T232" s="308"/>
      <c r="U232" s="308"/>
      <c r="V232" s="308"/>
      <c r="W232" s="308"/>
      <c r="X232" s="308"/>
      <c r="Y232" s="308"/>
      <c r="Z232" s="308"/>
    </row>
    <row r="233" spans="1:26" ht="20.25" customHeight="1">
      <c r="A233" s="323"/>
      <c r="B233" s="324"/>
      <c r="C233" s="324"/>
      <c r="D233" s="329" t="s">
        <v>117</v>
      </c>
      <c r="E233" s="330"/>
      <c r="F233" s="330"/>
      <c r="G233" s="331"/>
      <c r="H233" s="332" t="s">
        <v>35</v>
      </c>
      <c r="I233" s="321">
        <f t="shared" ref="I233:J233" ca="1" si="128">I244+I255</f>
        <v>340</v>
      </c>
      <c r="J233" s="321">
        <f t="shared" ca="1" si="128"/>
        <v>90</v>
      </c>
      <c r="K233" s="317">
        <f ca="1">IF(I233&gt;0,J233*100/I233,0)</f>
        <v>26.470588235294116</v>
      </c>
      <c r="L233" s="317"/>
      <c r="M233" s="317"/>
      <c r="N233" s="317"/>
      <c r="O233" s="317"/>
      <c r="P233" s="317"/>
      <c r="Q233" s="308"/>
      <c r="R233" s="308"/>
      <c r="S233" s="308"/>
      <c r="T233" s="308"/>
      <c r="U233" s="308"/>
      <c r="V233" s="308"/>
      <c r="W233" s="308"/>
      <c r="X233" s="308"/>
      <c r="Y233" s="308"/>
      <c r="Z233" s="308"/>
    </row>
    <row r="234" spans="1:26" ht="20.25" customHeight="1">
      <c r="A234" s="323"/>
      <c r="B234" s="324"/>
      <c r="C234" s="324"/>
      <c r="D234" s="333" t="s">
        <v>43</v>
      </c>
      <c r="E234" s="330"/>
      <c r="F234" s="330"/>
      <c r="G234" s="331"/>
      <c r="H234" s="332"/>
      <c r="I234" s="321"/>
      <c r="J234" s="321"/>
      <c r="K234" s="317"/>
      <c r="L234" s="317"/>
      <c r="M234" s="317"/>
      <c r="N234" s="317"/>
      <c r="O234" s="316"/>
      <c r="P234" s="316"/>
      <c r="Q234" s="308"/>
      <c r="R234" s="308"/>
      <c r="S234" s="308"/>
      <c r="T234" s="308"/>
      <c r="U234" s="308"/>
      <c r="V234" s="308"/>
      <c r="W234" s="308"/>
      <c r="X234" s="308"/>
      <c r="Y234" s="308"/>
      <c r="Z234" s="308"/>
    </row>
    <row r="235" spans="1:26" ht="20.25" customHeight="1">
      <c r="A235" s="323"/>
      <c r="B235" s="324"/>
      <c r="C235" s="324"/>
      <c r="D235" s="324"/>
      <c r="E235" s="334" t="s">
        <v>118</v>
      </c>
      <c r="F235" s="330"/>
      <c r="G235" s="331"/>
      <c r="H235" s="332" t="s">
        <v>35</v>
      </c>
      <c r="I235" s="321">
        <f t="shared" ref="I235:J235" ca="1" si="129">I246+I257</f>
        <v>280</v>
      </c>
      <c r="J235" s="321">
        <f t="shared" ca="1" si="129"/>
        <v>0</v>
      </c>
      <c r="K235" s="317">
        <f t="shared" ref="K235:K237" ca="1" si="130">IF(I235&gt;0,J235*100/I235,0)</f>
        <v>0</v>
      </c>
      <c r="L235" s="317"/>
      <c r="M235" s="317"/>
      <c r="N235" s="317"/>
      <c r="O235" s="317"/>
      <c r="P235" s="317"/>
      <c r="Q235" s="308"/>
      <c r="R235" s="308"/>
      <c r="S235" s="308"/>
      <c r="T235" s="308"/>
      <c r="U235" s="308"/>
      <c r="V235" s="308"/>
      <c r="W235" s="308"/>
      <c r="X235" s="308"/>
      <c r="Y235" s="308"/>
      <c r="Z235" s="308"/>
    </row>
    <row r="236" spans="1:26" ht="20.25" customHeight="1">
      <c r="A236" s="323"/>
      <c r="B236" s="324"/>
      <c r="C236" s="324"/>
      <c r="D236" s="324"/>
      <c r="E236" s="334" t="s">
        <v>119</v>
      </c>
      <c r="F236" s="330"/>
      <c r="G236" s="331"/>
      <c r="H236" s="332" t="s">
        <v>69</v>
      </c>
      <c r="I236" s="321">
        <f t="shared" ref="I236:J236" ca="1" si="131">I247+I258</f>
        <v>13</v>
      </c>
      <c r="J236" s="321">
        <f t="shared" ca="1" si="131"/>
        <v>0</v>
      </c>
      <c r="K236" s="317">
        <f t="shared" ca="1" si="130"/>
        <v>0</v>
      </c>
      <c r="L236" s="317"/>
      <c r="M236" s="317"/>
      <c r="N236" s="317"/>
      <c r="O236" s="317"/>
      <c r="P236" s="317"/>
      <c r="Q236" s="308"/>
      <c r="R236" s="308"/>
      <c r="S236" s="308"/>
      <c r="T236" s="308"/>
      <c r="U236" s="308"/>
      <c r="V236" s="308"/>
      <c r="W236" s="308"/>
      <c r="X236" s="308"/>
      <c r="Y236" s="308"/>
      <c r="Z236" s="308"/>
    </row>
    <row r="237" spans="1:26" ht="20.25" hidden="1" customHeight="1">
      <c r="A237" s="335"/>
      <c r="B237" s="336"/>
      <c r="C237" s="337" t="s">
        <v>120</v>
      </c>
      <c r="D237" s="338"/>
      <c r="E237" s="338"/>
      <c r="F237" s="338"/>
      <c r="G237" s="339"/>
      <c r="H237" s="260" t="s">
        <v>35</v>
      </c>
      <c r="I237" s="340">
        <f t="shared" ref="I237:J237" ca="1" si="132">I244</f>
        <v>270</v>
      </c>
      <c r="J237" s="340">
        <f t="shared" ca="1" si="132"/>
        <v>50</v>
      </c>
      <c r="K237" s="341">
        <f t="shared" ca="1" si="130"/>
        <v>18.518518518518519</v>
      </c>
      <c r="L237" s="342"/>
      <c r="M237" s="342"/>
      <c r="N237" s="342"/>
      <c r="O237" s="342"/>
      <c r="P237" s="342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</row>
    <row r="238" spans="1:26" ht="20.25" hidden="1" customHeight="1">
      <c r="A238" s="343"/>
      <c r="B238" s="344"/>
      <c r="C238" s="345" t="s">
        <v>16</v>
      </c>
      <c r="D238" s="346" t="s">
        <v>17</v>
      </c>
      <c r="E238" s="344"/>
      <c r="F238" s="344"/>
      <c r="G238" s="347"/>
      <c r="H238" s="348" t="s">
        <v>12</v>
      </c>
      <c r="I238" s="349"/>
      <c r="J238" s="349"/>
      <c r="K238" s="350"/>
      <c r="L238" s="351">
        <f ca="1">L239+L240+L241+L242</f>
        <v>1328300</v>
      </c>
      <c r="M238" s="351"/>
      <c r="N238" s="351">
        <f ca="1">N239+N240+N241+N242</f>
        <v>29073.34</v>
      </c>
      <c r="O238" s="351">
        <f ca="1">IF(L238&gt;0,N238*100/L238,0)</f>
        <v>2.1887630806293759</v>
      </c>
      <c r="P238" s="351">
        <f>IF(M238&gt;0,N238*100/M238,0)</f>
        <v>0</v>
      </c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20.25" hidden="1" customHeight="1">
      <c r="A239" s="152"/>
      <c r="B239" s="352"/>
      <c r="C239" s="39"/>
      <c r="D239" s="40" t="s">
        <v>97</v>
      </c>
      <c r="E239" s="39"/>
      <c r="F239" s="39"/>
      <c r="G239" s="41"/>
      <c r="H239" s="161" t="s">
        <v>12</v>
      </c>
      <c r="I239" s="162"/>
      <c r="J239" s="162"/>
      <c r="K239" s="163"/>
      <c r="L239" s="44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4"/>
      <c r="N239" s="353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"),15033.34)</f>
        <v>15033.34</v>
      </c>
      <c r="O239" s="44"/>
      <c r="P239" s="44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20.25" hidden="1" customHeight="1">
      <c r="A240" s="354"/>
      <c r="B240" s="352"/>
      <c r="C240" s="355"/>
      <c r="D240" s="218" t="s">
        <v>98</v>
      </c>
      <c r="E240" s="39"/>
      <c r="F240" s="39"/>
      <c r="G240" s="41"/>
      <c r="H240" s="161" t="s">
        <v>12</v>
      </c>
      <c r="I240" s="43"/>
      <c r="J240" s="43"/>
      <c r="K240" s="44"/>
      <c r="L240" s="44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4"/>
      <c r="N240" s="353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"),14040)</f>
        <v>14040</v>
      </c>
      <c r="O240" s="44"/>
      <c r="P240" s="44"/>
      <c r="Q240" s="356"/>
      <c r="R240" s="356"/>
      <c r="S240" s="356"/>
      <c r="T240" s="356"/>
      <c r="U240" s="356"/>
      <c r="V240" s="356"/>
      <c r="W240" s="356"/>
      <c r="X240" s="356"/>
      <c r="Y240" s="356"/>
      <c r="Z240" s="356"/>
    </row>
    <row r="241" spans="1:26" ht="20.25" hidden="1" customHeight="1">
      <c r="A241" s="354"/>
      <c r="B241" s="352"/>
      <c r="C241" s="355"/>
      <c r="D241" s="218" t="s">
        <v>116</v>
      </c>
      <c r="E241" s="39"/>
      <c r="F241" s="39"/>
      <c r="G241" s="41"/>
      <c r="H241" s="161" t="s">
        <v>12</v>
      </c>
      <c r="I241" s="43"/>
      <c r="J241" s="43"/>
      <c r="K241" s="44"/>
      <c r="L241" s="44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"),182500)</f>
        <v>182500</v>
      </c>
      <c r="M241" s="44"/>
      <c r="N241" s="353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"),0)</f>
        <v>0</v>
      </c>
      <c r="O241" s="44"/>
      <c r="P241" s="44"/>
      <c r="Q241" s="356"/>
      <c r="R241" s="356"/>
      <c r="S241" s="356"/>
      <c r="T241" s="356"/>
      <c r="U241" s="356"/>
      <c r="V241" s="356"/>
      <c r="W241" s="356"/>
      <c r="X241" s="356"/>
      <c r="Y241" s="356"/>
      <c r="Z241" s="356"/>
    </row>
    <row r="242" spans="1:26" ht="20.25" hidden="1" customHeight="1">
      <c r="A242" s="354"/>
      <c r="B242" s="352"/>
      <c r="C242" s="355"/>
      <c r="D242" s="218" t="s">
        <v>100</v>
      </c>
      <c r="E242" s="39"/>
      <c r="F242" s="39"/>
      <c r="G242" s="41"/>
      <c r="H242" s="161" t="s">
        <v>12</v>
      </c>
      <c r="I242" s="43"/>
      <c r="J242" s="43"/>
      <c r="K242" s="44"/>
      <c r="L242" s="44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"),140000)</f>
        <v>140000</v>
      </c>
      <c r="M242" s="44"/>
      <c r="N242" s="353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"),0)</f>
        <v>0</v>
      </c>
      <c r="O242" s="44"/>
      <c r="P242" s="44"/>
      <c r="Q242" s="356"/>
      <c r="R242" s="356"/>
      <c r="S242" s="356"/>
      <c r="T242" s="356"/>
      <c r="U242" s="356"/>
      <c r="V242" s="356"/>
      <c r="W242" s="356"/>
      <c r="X242" s="356"/>
      <c r="Y242" s="356"/>
      <c r="Z242" s="356"/>
    </row>
    <row r="243" spans="1:26" ht="20.25" hidden="1" customHeight="1">
      <c r="A243" s="357"/>
      <c r="B243" s="358"/>
      <c r="C243" s="355" t="s">
        <v>16</v>
      </c>
      <c r="D243" s="261" t="s">
        <v>38</v>
      </c>
      <c r="E243" s="359"/>
      <c r="F243" s="359"/>
      <c r="G243" s="360"/>
      <c r="H243" s="361"/>
      <c r="I243" s="162"/>
      <c r="J243" s="43"/>
      <c r="K243" s="44"/>
      <c r="L243" s="44"/>
      <c r="M243" s="44"/>
      <c r="N243" s="44"/>
      <c r="O243" s="163"/>
      <c r="P243" s="163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20.25" hidden="1" customHeight="1">
      <c r="A244" s="357"/>
      <c r="B244" s="358"/>
      <c r="C244" s="358"/>
      <c r="D244" s="362" t="s">
        <v>117</v>
      </c>
      <c r="E244" s="363"/>
      <c r="F244" s="363"/>
      <c r="G244" s="364"/>
      <c r="H244" s="365" t="s">
        <v>35</v>
      </c>
      <c r="I244" s="43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66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"),50)</f>
        <v>50</v>
      </c>
      <c r="K244" s="44">
        <f ca="1">IF(I244&gt;0,J244*100/I244,0)</f>
        <v>18.518518518518519</v>
      </c>
      <c r="L244" s="44"/>
      <c r="M244" s="44"/>
      <c r="N244" s="44"/>
      <c r="O244" s="44"/>
      <c r="P244" s="44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20.25" hidden="1" customHeight="1">
      <c r="A245" s="357"/>
      <c r="B245" s="358"/>
      <c r="C245" s="358"/>
      <c r="D245" s="367" t="s">
        <v>43</v>
      </c>
      <c r="E245" s="368"/>
      <c r="F245" s="363"/>
      <c r="G245" s="364"/>
      <c r="H245" s="365"/>
      <c r="I245" s="43"/>
      <c r="J245" s="43"/>
      <c r="K245" s="44"/>
      <c r="L245" s="44"/>
      <c r="M245" s="44"/>
      <c r="N245" s="44"/>
      <c r="O245" s="163"/>
      <c r="P245" s="163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20.25" hidden="1" customHeight="1">
      <c r="A246" s="357"/>
      <c r="B246" s="358"/>
      <c r="C246" s="358"/>
      <c r="D246" s="358"/>
      <c r="E246" s="369" t="s">
        <v>118</v>
      </c>
      <c r="F246" s="363"/>
      <c r="G246" s="364"/>
      <c r="H246" s="365" t="s">
        <v>35</v>
      </c>
      <c r="I246" s="43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66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"),0)</f>
        <v>0</v>
      </c>
      <c r="K246" s="44">
        <f t="shared" ref="K246:K248" ca="1" si="133">IF(I246&gt;0,J246*100/I246,0)</f>
        <v>0</v>
      </c>
      <c r="L246" s="44"/>
      <c r="M246" s="44"/>
      <c r="N246" s="44"/>
      <c r="O246" s="44"/>
      <c r="P246" s="44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20.25" hidden="1" customHeight="1">
      <c r="A247" s="357"/>
      <c r="B247" s="358"/>
      <c r="C247" s="358"/>
      <c r="D247" s="358"/>
      <c r="E247" s="262" t="s">
        <v>119</v>
      </c>
      <c r="F247" s="363"/>
      <c r="G247" s="364"/>
      <c r="H247" s="365" t="s">
        <v>69</v>
      </c>
      <c r="I247" s="43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66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"),0)</f>
        <v>0</v>
      </c>
      <c r="K247" s="44">
        <f t="shared" ca="1" si="133"/>
        <v>0</v>
      </c>
      <c r="L247" s="44"/>
      <c r="M247" s="44"/>
      <c r="N247" s="44"/>
      <c r="O247" s="44"/>
      <c r="P247" s="44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20.25" hidden="1" customHeight="1">
      <c r="A248" s="335"/>
      <c r="B248" s="336"/>
      <c r="C248" s="337" t="s">
        <v>121</v>
      </c>
      <c r="D248" s="338"/>
      <c r="E248" s="338"/>
      <c r="F248" s="338"/>
      <c r="G248" s="339"/>
      <c r="H248" s="260" t="s">
        <v>35</v>
      </c>
      <c r="I248" s="340">
        <f t="shared" ref="I248:J248" ca="1" si="134">I255</f>
        <v>70</v>
      </c>
      <c r="J248" s="340">
        <f t="shared" ca="1" si="134"/>
        <v>40</v>
      </c>
      <c r="K248" s="341">
        <f t="shared" ca="1" si="133"/>
        <v>57.142857142857146</v>
      </c>
      <c r="L248" s="342"/>
      <c r="M248" s="342"/>
      <c r="N248" s="342"/>
      <c r="O248" s="342"/>
      <c r="P248" s="342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</row>
    <row r="249" spans="1:26" ht="20.25" hidden="1" customHeight="1">
      <c r="A249" s="343"/>
      <c r="B249" s="344"/>
      <c r="C249" s="345" t="s">
        <v>16</v>
      </c>
      <c r="D249" s="370" t="s">
        <v>17</v>
      </c>
      <c r="E249" s="344"/>
      <c r="F249" s="344"/>
      <c r="G249" s="347"/>
      <c r="H249" s="348" t="s">
        <v>12</v>
      </c>
      <c r="I249" s="349"/>
      <c r="J249" s="349"/>
      <c r="K249" s="350"/>
      <c r="L249" s="351">
        <f ca="1">L250+L251+L252+L253</f>
        <v>192100</v>
      </c>
      <c r="M249" s="351"/>
      <c r="N249" s="351">
        <f ca="1">N250+N251+N252+N253</f>
        <v>0</v>
      </c>
      <c r="O249" s="351">
        <f ca="1">IF(L249&gt;0,N249*100/L249,0)</f>
        <v>0</v>
      </c>
      <c r="P249" s="351">
        <f>IF(M249&gt;0,N249*100/M249,0)</f>
        <v>0</v>
      </c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20.25" hidden="1" customHeight="1">
      <c r="A250" s="152"/>
      <c r="B250" s="352"/>
      <c r="C250" s="39"/>
      <c r="D250" s="40" t="s">
        <v>97</v>
      </c>
      <c r="E250" s="39"/>
      <c r="F250" s="39"/>
      <c r="G250" s="41"/>
      <c r="H250" s="161" t="s">
        <v>12</v>
      </c>
      <c r="I250" s="162"/>
      <c r="J250" s="162"/>
      <c r="K250" s="163"/>
      <c r="L250" s="44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4"/>
      <c r="N250" s="353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"),0)</f>
        <v>0</v>
      </c>
      <c r="O250" s="44"/>
      <c r="P250" s="44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20.25" hidden="1" customHeight="1">
      <c r="A251" s="354"/>
      <c r="B251" s="352"/>
      <c r="C251" s="355"/>
      <c r="D251" s="218" t="s">
        <v>98</v>
      </c>
      <c r="E251" s="39"/>
      <c r="F251" s="39"/>
      <c r="G251" s="41"/>
      <c r="H251" s="161" t="s">
        <v>12</v>
      </c>
      <c r="I251" s="43"/>
      <c r="J251" s="43"/>
      <c r="K251" s="44"/>
      <c r="L251" s="44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4"/>
      <c r="N251" s="353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"),0)</f>
        <v>0</v>
      </c>
      <c r="O251" s="44"/>
      <c r="P251" s="44"/>
      <c r="Q251" s="356"/>
      <c r="R251" s="356"/>
      <c r="S251" s="356"/>
      <c r="T251" s="356"/>
      <c r="U251" s="356"/>
      <c r="V251" s="356"/>
      <c r="W251" s="356"/>
      <c r="X251" s="356"/>
      <c r="Y251" s="356"/>
      <c r="Z251" s="356"/>
    </row>
    <row r="252" spans="1:26" ht="20.25" hidden="1" customHeight="1">
      <c r="A252" s="354"/>
      <c r="B252" s="352"/>
      <c r="C252" s="355"/>
      <c r="D252" s="218" t="s">
        <v>116</v>
      </c>
      <c r="E252" s="39"/>
      <c r="F252" s="39"/>
      <c r="G252" s="41"/>
      <c r="H252" s="161" t="s">
        <v>12</v>
      </c>
      <c r="I252" s="43"/>
      <c r="J252" s="43"/>
      <c r="K252" s="44"/>
      <c r="L252" s="44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"),10000)</f>
        <v>10000</v>
      </c>
      <c r="M252" s="44"/>
      <c r="N252" s="353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"),0)</f>
        <v>0</v>
      </c>
      <c r="O252" s="44"/>
      <c r="P252" s="44"/>
      <c r="Q252" s="356"/>
      <c r="R252" s="356"/>
      <c r="S252" s="356"/>
      <c r="T252" s="356"/>
      <c r="U252" s="356"/>
      <c r="V252" s="356"/>
      <c r="W252" s="356"/>
      <c r="X252" s="356"/>
      <c r="Y252" s="356"/>
      <c r="Z252" s="356"/>
    </row>
    <row r="253" spans="1:26" ht="20.25" hidden="1" customHeight="1">
      <c r="A253" s="354"/>
      <c r="B253" s="352"/>
      <c r="C253" s="355"/>
      <c r="D253" s="218" t="s">
        <v>100</v>
      </c>
      <c r="E253" s="39"/>
      <c r="F253" s="39"/>
      <c r="G253" s="41"/>
      <c r="H253" s="161" t="s">
        <v>12</v>
      </c>
      <c r="I253" s="43"/>
      <c r="J253" s="43"/>
      <c r="K253" s="44"/>
      <c r="L253" s="44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"),70000)</f>
        <v>70000</v>
      </c>
      <c r="M253" s="44"/>
      <c r="N253" s="353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"),0)</f>
        <v>0</v>
      </c>
      <c r="O253" s="44"/>
      <c r="P253" s="44"/>
      <c r="Q253" s="356"/>
      <c r="R253" s="356"/>
      <c r="S253" s="356"/>
      <c r="T253" s="356"/>
      <c r="U253" s="356"/>
      <c r="V253" s="356"/>
      <c r="W253" s="356"/>
      <c r="X253" s="356"/>
      <c r="Y253" s="356"/>
      <c r="Z253" s="356"/>
    </row>
    <row r="254" spans="1:26" ht="20.25" hidden="1" customHeight="1">
      <c r="A254" s="357"/>
      <c r="B254" s="358"/>
      <c r="C254" s="355" t="s">
        <v>16</v>
      </c>
      <c r="D254" s="261" t="s">
        <v>38</v>
      </c>
      <c r="E254" s="359"/>
      <c r="F254" s="359"/>
      <c r="G254" s="360"/>
      <c r="H254" s="361"/>
      <c r="I254" s="162"/>
      <c r="J254" s="43"/>
      <c r="K254" s="44"/>
      <c r="L254" s="44"/>
      <c r="M254" s="44"/>
      <c r="N254" s="44"/>
      <c r="O254" s="163"/>
      <c r="P254" s="163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20.25" hidden="1" customHeight="1">
      <c r="A255" s="357"/>
      <c r="B255" s="358"/>
      <c r="C255" s="358"/>
      <c r="D255" s="362" t="s">
        <v>117</v>
      </c>
      <c r="E255" s="363"/>
      <c r="F255" s="363"/>
      <c r="G255" s="364"/>
      <c r="H255" s="365" t="s">
        <v>35</v>
      </c>
      <c r="I255" s="43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66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"),40)</f>
        <v>40</v>
      </c>
      <c r="K255" s="44">
        <f ca="1">IF(I255&gt;0,J255*100/I255,0)</f>
        <v>57.142857142857146</v>
      </c>
      <c r="L255" s="44"/>
      <c r="M255" s="44"/>
      <c r="N255" s="44"/>
      <c r="O255" s="44"/>
      <c r="P255" s="44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20.25" hidden="1" customHeight="1">
      <c r="A256" s="357"/>
      <c r="B256" s="358"/>
      <c r="C256" s="358"/>
      <c r="D256" s="367" t="s">
        <v>43</v>
      </c>
      <c r="E256" s="368"/>
      <c r="F256" s="363"/>
      <c r="G256" s="364"/>
      <c r="H256" s="365"/>
      <c r="I256" s="43"/>
      <c r="J256" s="43"/>
      <c r="K256" s="44"/>
      <c r="L256" s="44"/>
      <c r="M256" s="44"/>
      <c r="N256" s="44"/>
      <c r="O256" s="163"/>
      <c r="P256" s="163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20.25" hidden="1" customHeight="1">
      <c r="A257" s="357"/>
      <c r="B257" s="358"/>
      <c r="C257" s="358"/>
      <c r="D257" s="358"/>
      <c r="E257" s="369" t="s">
        <v>118</v>
      </c>
      <c r="F257" s="363"/>
      <c r="G257" s="364"/>
      <c r="H257" s="365" t="s">
        <v>35</v>
      </c>
      <c r="I257" s="43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66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"),0)</f>
        <v>0</v>
      </c>
      <c r="K257" s="44">
        <f t="shared" ref="K257:K258" ca="1" si="135">IF(I257&gt;0,J257*100/I257,0)</f>
        <v>0</v>
      </c>
      <c r="L257" s="44"/>
      <c r="M257" s="44"/>
      <c r="N257" s="44"/>
      <c r="O257" s="44"/>
      <c r="P257" s="44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20.25" hidden="1" customHeight="1">
      <c r="A258" s="357"/>
      <c r="B258" s="358"/>
      <c r="C258" s="358"/>
      <c r="D258" s="358"/>
      <c r="E258" s="262" t="s">
        <v>119</v>
      </c>
      <c r="F258" s="363"/>
      <c r="G258" s="364"/>
      <c r="H258" s="365" t="s">
        <v>69</v>
      </c>
      <c r="I258" s="43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66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"),0)</f>
        <v>0</v>
      </c>
      <c r="K258" s="44">
        <f t="shared" ca="1" si="135"/>
        <v>0</v>
      </c>
      <c r="L258" s="44"/>
      <c r="M258" s="44"/>
      <c r="N258" s="44"/>
      <c r="O258" s="44"/>
      <c r="P258" s="44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20.25" customHeight="1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20.25" customHeight="1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36">I271</f>
        <v>440</v>
      </c>
      <c r="J260" s="371">
        <f t="shared" ca="1" si="136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20.25" customHeight="1">
      <c r="A261" s="143"/>
      <c r="B261" s="144"/>
      <c r="C261" s="145" t="s">
        <v>16</v>
      </c>
      <c r="D261" s="146" t="s">
        <v>17</v>
      </c>
      <c r="E261" s="144"/>
      <c r="F261" s="144"/>
      <c r="G261" s="147"/>
      <c r="H261" s="148" t="s">
        <v>12</v>
      </c>
      <c r="I261" s="149"/>
      <c r="J261" s="149"/>
      <c r="K261" s="150"/>
      <c r="L261" s="151">
        <f t="shared" ref="L261:N261" ca="1" si="137">L262+L263</f>
        <v>830000</v>
      </c>
      <c r="M261" s="151">
        <f t="shared" ca="1" si="137"/>
        <v>130000</v>
      </c>
      <c r="N261" s="151">
        <f t="shared" ca="1" si="137"/>
        <v>41197.33</v>
      </c>
      <c r="O261" s="151">
        <f t="shared" ref="O261:O269" ca="1" si="138">IF(L261&gt;0,N261*100/L261,0)</f>
        <v>4.9635337349397588</v>
      </c>
      <c r="P261" s="151">
        <f t="shared" ref="P261:P269" ca="1" si="139">IF(M261&gt;0,N261*100/M261,0)</f>
        <v>31.690253846153848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0.25" hidden="1" customHeight="1">
      <c r="A262" s="152"/>
      <c r="B262" s="39"/>
      <c r="C262" s="39"/>
      <c r="D262" s="39"/>
      <c r="E262" s="40" t="s">
        <v>18</v>
      </c>
      <c r="F262" s="39"/>
      <c r="G262" s="153"/>
      <c r="H262" s="154" t="s">
        <v>12</v>
      </c>
      <c r="I262" s="43"/>
      <c r="J262" s="43"/>
      <c r="K262" s="44"/>
      <c r="L262" s="44">
        <f t="shared" ref="L262:N262" si="140">L265+L268</f>
        <v>0</v>
      </c>
      <c r="M262" s="44">
        <f t="shared" si="140"/>
        <v>0</v>
      </c>
      <c r="N262" s="44">
        <f t="shared" si="140"/>
        <v>0</v>
      </c>
      <c r="O262" s="44">
        <f t="shared" si="138"/>
        <v>0</v>
      </c>
      <c r="P262" s="44">
        <f t="shared" si="139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20.25" hidden="1" customHeight="1">
      <c r="A263" s="152"/>
      <c r="B263" s="39"/>
      <c r="C263" s="39"/>
      <c r="D263" s="39"/>
      <c r="E263" s="40" t="s">
        <v>19</v>
      </c>
      <c r="F263" s="39"/>
      <c r="G263" s="153"/>
      <c r="H263" s="154" t="s">
        <v>12</v>
      </c>
      <c r="I263" s="43"/>
      <c r="J263" s="43"/>
      <c r="K263" s="44"/>
      <c r="L263" s="44">
        <f t="shared" ref="L263:N263" ca="1" si="141">L266+L269</f>
        <v>830000</v>
      </c>
      <c r="M263" s="44">
        <f t="shared" ca="1" si="141"/>
        <v>130000</v>
      </c>
      <c r="N263" s="44">
        <f t="shared" ca="1" si="141"/>
        <v>41197.33</v>
      </c>
      <c r="O263" s="44">
        <f t="shared" ca="1" si="138"/>
        <v>4.9635337349397588</v>
      </c>
      <c r="P263" s="44">
        <f t="shared" ca="1" si="139"/>
        <v>31.690253846153848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20.25" customHeight="1">
      <c r="A264" s="155"/>
      <c r="B264" s="32"/>
      <c r="C264" s="156"/>
      <c r="D264" s="33" t="s">
        <v>20</v>
      </c>
      <c r="E264" s="32"/>
      <c r="F264" s="32"/>
      <c r="G264" s="34"/>
      <c r="H264" s="157" t="s">
        <v>12</v>
      </c>
      <c r="I264" s="158"/>
      <c r="J264" s="158"/>
      <c r="K264" s="159"/>
      <c r="L264" s="37">
        <f t="shared" ref="L264:N264" ca="1" si="142">L265+L266</f>
        <v>830000</v>
      </c>
      <c r="M264" s="37">
        <f t="shared" ca="1" si="142"/>
        <v>130000</v>
      </c>
      <c r="N264" s="37">
        <f t="shared" ca="1" si="142"/>
        <v>41197.33</v>
      </c>
      <c r="O264" s="37">
        <f t="shared" ca="1" si="138"/>
        <v>4.9635337349397588</v>
      </c>
      <c r="P264" s="37">
        <f t="shared" ca="1" si="139"/>
        <v>31.690253846153848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0.25" hidden="1" customHeight="1">
      <c r="A265" s="152"/>
      <c r="B265" s="39"/>
      <c r="C265" s="160"/>
      <c r="D265" s="39"/>
      <c r="E265" s="40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44">
        <f t="shared" si="138"/>
        <v>0</v>
      </c>
      <c r="P265" s="44">
        <f t="shared" si="139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20.25" hidden="1" customHeight="1">
      <c r="A266" s="152"/>
      <c r="B266" s="39"/>
      <c r="C266" s="160"/>
      <c r="D266" s="39"/>
      <c r="E266" s="40" t="s">
        <v>37</v>
      </c>
      <c r="F266" s="39"/>
      <c r="G266" s="153"/>
      <c r="H266" s="161" t="s">
        <v>12</v>
      </c>
      <c r="I266" s="162"/>
      <c r="J266" s="162"/>
      <c r="K266" s="163"/>
      <c r="L266" s="44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4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"),130000)</f>
        <v>130000</v>
      </c>
      <c r="N266" s="44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"),41197.33)</f>
        <v>41197.33</v>
      </c>
      <c r="O266" s="44">
        <f t="shared" ca="1" si="138"/>
        <v>4.9635337349397588</v>
      </c>
      <c r="P266" s="44">
        <f t="shared" ca="1" si="139"/>
        <v>31.690253846153848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20.25" customHeight="1">
      <c r="A267" s="155"/>
      <c r="B267" s="32"/>
      <c r="C267" s="156"/>
      <c r="D267" s="33" t="s">
        <v>21</v>
      </c>
      <c r="E267" s="32"/>
      <c r="F267" s="32"/>
      <c r="G267" s="34"/>
      <c r="H267" s="164" t="s">
        <v>12</v>
      </c>
      <c r="I267" s="158"/>
      <c r="J267" s="158"/>
      <c r="K267" s="159"/>
      <c r="L267" s="37">
        <f t="shared" ref="L267:N267" ca="1" si="143">L268+L269</f>
        <v>0</v>
      </c>
      <c r="M267" s="37">
        <f t="shared" ca="1" si="143"/>
        <v>0</v>
      </c>
      <c r="N267" s="37">
        <f t="shared" ca="1" si="143"/>
        <v>0</v>
      </c>
      <c r="O267" s="37">
        <f t="shared" ca="1" si="138"/>
        <v>0</v>
      </c>
      <c r="P267" s="37">
        <f t="shared" ca="1" si="139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0.25" hidden="1" customHeight="1">
      <c r="A268" s="152"/>
      <c r="B268" s="39"/>
      <c r="C268" s="160"/>
      <c r="D268" s="39"/>
      <c r="E268" s="40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44">
        <f t="shared" si="138"/>
        <v>0</v>
      </c>
      <c r="P268" s="44">
        <f t="shared" si="139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20.25" hidden="1" customHeight="1">
      <c r="A269" s="152"/>
      <c r="B269" s="39"/>
      <c r="C269" s="160"/>
      <c r="D269" s="39"/>
      <c r="E269" s="40" t="s">
        <v>19</v>
      </c>
      <c r="F269" s="39"/>
      <c r="G269" s="153"/>
      <c r="H269" s="165" t="s">
        <v>12</v>
      </c>
      <c r="I269" s="162"/>
      <c r="J269" s="162"/>
      <c r="K269" s="163"/>
      <c r="L269" s="44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4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4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4">
        <f t="shared" ca="1" si="138"/>
        <v>0</v>
      </c>
      <c r="P269" s="44">
        <f t="shared" ca="1" si="139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20.25" customHeight="1">
      <c r="A270" s="166"/>
      <c r="B270" s="167"/>
      <c r="C270" s="156" t="s">
        <v>16</v>
      </c>
      <c r="D270" s="168" t="s">
        <v>38</v>
      </c>
      <c r="E270" s="169"/>
      <c r="F270" s="169"/>
      <c r="G270" s="170"/>
      <c r="H270" s="171"/>
      <c r="I270" s="158"/>
      <c r="J270" s="158"/>
      <c r="K270" s="159"/>
      <c r="L270" s="159"/>
      <c r="M270" s="159"/>
      <c r="N270" s="159"/>
      <c r="O270" s="159"/>
      <c r="P270" s="159"/>
    </row>
    <row r="271" spans="1:26" ht="20.25" customHeight="1">
      <c r="A271" s="166"/>
      <c r="B271" s="167"/>
      <c r="C271" s="167"/>
      <c r="D271" s="373" t="s">
        <v>124</v>
      </c>
      <c r="E271" s="174"/>
      <c r="F271" s="263"/>
      <c r="G271" s="175"/>
      <c r="H271" s="374" t="s">
        <v>35</v>
      </c>
      <c r="I271" s="36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79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"),0)</f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20.25" hidden="1" customHeight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380">
        <v>0</v>
      </c>
      <c r="J272" s="380">
        <v>0</v>
      </c>
      <c r="K272" s="381">
        <v>0</v>
      </c>
      <c r="L272" s="382"/>
      <c r="M272" s="382"/>
      <c r="N272" s="382"/>
      <c r="O272" s="382"/>
      <c r="P272" s="382"/>
    </row>
    <row r="273" spans="1:26" ht="20.25" customHeight="1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20.25" customHeight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20.25" customHeight="1">
      <c r="A275" s="397"/>
      <c r="B275" s="398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44">I288</f>
        <v>150</v>
      </c>
      <c r="J275" s="403">
        <f t="shared" ca="1" si="144"/>
        <v>0</v>
      </c>
      <c r="K275" s="404">
        <f t="shared" ref="K275:K276" ca="1" si="145">IF(I275&gt;0,J275*100/I275,0)</f>
        <v>0</v>
      </c>
      <c r="L275" s="405"/>
      <c r="M275" s="405"/>
      <c r="N275" s="405"/>
      <c r="O275" s="405"/>
      <c r="P275" s="405"/>
    </row>
    <row r="276" spans="1:26" ht="20.25" customHeight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46">I287</f>
        <v>1500</v>
      </c>
      <c r="J276" s="407">
        <f t="shared" ca="1" si="146"/>
        <v>50</v>
      </c>
      <c r="K276" s="405">
        <f t="shared" ca="1" si="145"/>
        <v>3.3333333333333335</v>
      </c>
      <c r="L276" s="405"/>
      <c r="M276" s="405"/>
      <c r="N276" s="405"/>
      <c r="O276" s="405"/>
      <c r="P276" s="405"/>
    </row>
    <row r="277" spans="1:26" ht="20.25" customHeight="1">
      <c r="A277" s="143"/>
      <c r="B277" s="144"/>
      <c r="C277" s="145" t="s">
        <v>16</v>
      </c>
      <c r="D277" s="146" t="s">
        <v>17</v>
      </c>
      <c r="E277" s="144"/>
      <c r="F277" s="144"/>
      <c r="G277" s="147"/>
      <c r="H277" s="148" t="s">
        <v>12</v>
      </c>
      <c r="I277" s="149"/>
      <c r="J277" s="149"/>
      <c r="K277" s="150"/>
      <c r="L277" s="151">
        <f t="shared" ref="L277:N277" ca="1" si="147">L278+L279</f>
        <v>963020</v>
      </c>
      <c r="M277" s="151">
        <f t="shared" ca="1" si="147"/>
        <v>433500</v>
      </c>
      <c r="N277" s="151">
        <f t="shared" ca="1" si="147"/>
        <v>140739.44</v>
      </c>
      <c r="O277" s="151">
        <f t="shared" ref="O277:O285" ca="1" si="148">IF(L277&gt;0,N277*100/L277,0)</f>
        <v>14.614383917260286</v>
      </c>
      <c r="P277" s="151">
        <f t="shared" ref="P277:P285" ca="1" si="149">IF(M277&gt;0,N277*100/M277,0)</f>
        <v>32.46584544405998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0.25" hidden="1" customHeight="1">
      <c r="A278" s="152"/>
      <c r="B278" s="39"/>
      <c r="C278" s="39"/>
      <c r="D278" s="39"/>
      <c r="E278" s="40" t="s">
        <v>18</v>
      </c>
      <c r="F278" s="39"/>
      <c r="G278" s="153"/>
      <c r="H278" s="154" t="s">
        <v>12</v>
      </c>
      <c r="I278" s="43"/>
      <c r="J278" s="43"/>
      <c r="K278" s="44"/>
      <c r="L278" s="44">
        <f t="shared" ref="L278:N278" si="150">L281+L284</f>
        <v>0</v>
      </c>
      <c r="M278" s="44">
        <f t="shared" si="150"/>
        <v>0</v>
      </c>
      <c r="N278" s="44">
        <f t="shared" si="150"/>
        <v>0</v>
      </c>
      <c r="O278" s="44">
        <f t="shared" si="148"/>
        <v>0</v>
      </c>
      <c r="P278" s="44">
        <f t="shared" si="149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20.25" hidden="1" customHeight="1">
      <c r="A279" s="152"/>
      <c r="B279" s="39"/>
      <c r="C279" s="39"/>
      <c r="D279" s="39"/>
      <c r="E279" s="40" t="s">
        <v>19</v>
      </c>
      <c r="F279" s="39"/>
      <c r="G279" s="153"/>
      <c r="H279" s="154" t="s">
        <v>12</v>
      </c>
      <c r="I279" s="43"/>
      <c r="J279" s="43"/>
      <c r="K279" s="44"/>
      <c r="L279" s="44">
        <f t="shared" ref="L279:N279" ca="1" si="151">L282+L285</f>
        <v>963020</v>
      </c>
      <c r="M279" s="44">
        <f t="shared" ca="1" si="151"/>
        <v>433500</v>
      </c>
      <c r="N279" s="44">
        <f t="shared" ca="1" si="151"/>
        <v>140739.44</v>
      </c>
      <c r="O279" s="44">
        <f t="shared" ca="1" si="148"/>
        <v>14.614383917260286</v>
      </c>
      <c r="P279" s="44">
        <f t="shared" ca="1" si="149"/>
        <v>32.46584544405998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20.25" customHeight="1">
      <c r="A280" s="155"/>
      <c r="B280" s="32"/>
      <c r="C280" s="156"/>
      <c r="D280" s="33" t="s">
        <v>20</v>
      </c>
      <c r="E280" s="32"/>
      <c r="F280" s="32"/>
      <c r="G280" s="34"/>
      <c r="H280" s="157" t="s">
        <v>12</v>
      </c>
      <c r="I280" s="158"/>
      <c r="J280" s="158"/>
      <c r="K280" s="159"/>
      <c r="L280" s="37">
        <f t="shared" ref="L280:N280" ca="1" si="152">L281+L282</f>
        <v>963020</v>
      </c>
      <c r="M280" s="37">
        <f t="shared" ca="1" si="152"/>
        <v>433500</v>
      </c>
      <c r="N280" s="37">
        <f t="shared" ca="1" si="152"/>
        <v>140739.44</v>
      </c>
      <c r="O280" s="37">
        <f t="shared" ca="1" si="148"/>
        <v>14.614383917260286</v>
      </c>
      <c r="P280" s="37">
        <f t="shared" ca="1" si="149"/>
        <v>32.46584544405998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0.25" hidden="1" customHeight="1">
      <c r="A281" s="152"/>
      <c r="B281" s="39"/>
      <c r="C281" s="160"/>
      <c r="D281" s="39"/>
      <c r="E281" s="40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44">
        <f t="shared" si="148"/>
        <v>0</v>
      </c>
      <c r="P281" s="44">
        <f t="shared" si="149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20.25" hidden="1" customHeight="1">
      <c r="A282" s="152"/>
      <c r="B282" s="39"/>
      <c r="C282" s="160"/>
      <c r="D282" s="39"/>
      <c r="E282" s="40" t="s">
        <v>37</v>
      </c>
      <c r="F282" s="39"/>
      <c r="G282" s="153"/>
      <c r="H282" s="161" t="s">
        <v>12</v>
      </c>
      <c r="I282" s="162"/>
      <c r="J282" s="162"/>
      <c r="K282" s="163"/>
      <c r="L282" s="44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4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"),433500)</f>
        <v>433500</v>
      </c>
      <c r="N282" s="44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"),140739.44)</f>
        <v>140739.44</v>
      </c>
      <c r="O282" s="44">
        <f t="shared" ca="1" si="148"/>
        <v>14.614383917260286</v>
      </c>
      <c r="P282" s="44">
        <f t="shared" ca="1" si="149"/>
        <v>32.46584544405998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20.25" customHeight="1">
      <c r="A283" s="155"/>
      <c r="B283" s="32"/>
      <c r="C283" s="156"/>
      <c r="D283" s="33" t="s">
        <v>21</v>
      </c>
      <c r="E283" s="32"/>
      <c r="F283" s="32"/>
      <c r="G283" s="34"/>
      <c r="H283" s="164" t="s">
        <v>12</v>
      </c>
      <c r="I283" s="158"/>
      <c r="J283" s="158"/>
      <c r="K283" s="159"/>
      <c r="L283" s="37">
        <f t="shared" ref="L283:N283" ca="1" si="153">L284+L285</f>
        <v>0</v>
      </c>
      <c r="M283" s="37">
        <f t="shared" ca="1" si="153"/>
        <v>0</v>
      </c>
      <c r="N283" s="37">
        <f t="shared" ca="1" si="153"/>
        <v>0</v>
      </c>
      <c r="O283" s="37">
        <f t="shared" ca="1" si="148"/>
        <v>0</v>
      </c>
      <c r="P283" s="37">
        <f t="shared" ca="1" si="149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0.25" hidden="1" customHeight="1">
      <c r="A284" s="152"/>
      <c r="B284" s="39"/>
      <c r="C284" s="160"/>
      <c r="D284" s="39"/>
      <c r="E284" s="40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44">
        <f t="shared" si="148"/>
        <v>0</v>
      </c>
      <c r="P284" s="44">
        <f t="shared" si="149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20.25" hidden="1" customHeight="1">
      <c r="A285" s="152"/>
      <c r="B285" s="39"/>
      <c r="C285" s="160"/>
      <c r="D285" s="39"/>
      <c r="E285" s="40" t="s">
        <v>19</v>
      </c>
      <c r="F285" s="39"/>
      <c r="G285" s="153"/>
      <c r="H285" s="165" t="s">
        <v>12</v>
      </c>
      <c r="I285" s="162"/>
      <c r="J285" s="162"/>
      <c r="K285" s="163"/>
      <c r="L285" s="44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4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4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4">
        <f t="shared" ca="1" si="148"/>
        <v>0</v>
      </c>
      <c r="P285" s="44">
        <f t="shared" ca="1" si="149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20.25" customHeight="1">
      <c r="A286" s="166"/>
      <c r="B286" s="167"/>
      <c r="C286" s="160" t="s">
        <v>16</v>
      </c>
      <c r="D286" s="168" t="s">
        <v>38</v>
      </c>
      <c r="E286" s="169"/>
      <c r="F286" s="169"/>
      <c r="G286" s="170"/>
      <c r="H286" s="171"/>
      <c r="I286" s="158"/>
      <c r="J286" s="158"/>
      <c r="K286" s="159"/>
      <c r="L286" s="159"/>
      <c r="M286" s="159"/>
      <c r="N286" s="159"/>
      <c r="O286" s="159"/>
      <c r="P286" s="159"/>
    </row>
    <row r="287" spans="1:26" ht="20.25" customHeight="1">
      <c r="A287" s="166"/>
      <c r="B287" s="167"/>
      <c r="C287" s="167"/>
      <c r="D287" s="40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79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"),50)</f>
        <v>50</v>
      </c>
      <c r="K287" s="159">
        <f t="shared" ref="K287:K288" ca="1" si="154">IF(I287&gt;0,J287*100/I287,0)</f>
        <v>3.3333333333333335</v>
      </c>
      <c r="L287" s="159"/>
      <c r="M287" s="159"/>
      <c r="N287" s="159"/>
      <c r="O287" s="159"/>
      <c r="P287" s="159"/>
    </row>
    <row r="288" spans="1:26" ht="20.25" customHeight="1">
      <c r="A288" s="166"/>
      <c r="B288" s="167"/>
      <c r="C288" s="167"/>
      <c r="D288" s="408" t="s">
        <v>130</v>
      </c>
      <c r="E288" s="167"/>
      <c r="F288" s="174"/>
      <c r="G288" s="175"/>
      <c r="H288" s="176" t="s">
        <v>35</v>
      </c>
      <c r="I288" s="190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0">
        <f ca="1">IF(AND(J291&gt;=I288,J294&gt;=I288),J294,0)</f>
        <v>0</v>
      </c>
      <c r="K288" s="409">
        <f t="shared" ca="1" si="154"/>
        <v>0</v>
      </c>
      <c r="L288" s="159"/>
      <c r="M288" s="159"/>
      <c r="N288" s="159"/>
      <c r="O288" s="159"/>
      <c r="P288" s="159"/>
    </row>
    <row r="289" spans="1:26" ht="20.25" customHeight="1">
      <c r="A289" s="166"/>
      <c r="B289" s="167"/>
      <c r="C289" s="167"/>
      <c r="D289" s="410"/>
      <c r="E289" s="411" t="s">
        <v>131</v>
      </c>
      <c r="F289" s="174"/>
      <c r="G289" s="175"/>
      <c r="H289" s="178"/>
      <c r="I289" s="180"/>
      <c r="J289" s="264"/>
      <c r="K289" s="159"/>
      <c r="L289" s="159"/>
      <c r="M289" s="159"/>
      <c r="N289" s="159"/>
      <c r="O289" s="159"/>
      <c r="P289" s="159"/>
    </row>
    <row r="290" spans="1:26" ht="20.25" customHeight="1">
      <c r="A290" s="166"/>
      <c r="B290" s="167"/>
      <c r="C290" s="167"/>
      <c r="D290" s="410"/>
      <c r="E290" s="408" t="s">
        <v>132</v>
      </c>
      <c r="F290" s="174"/>
      <c r="G290" s="175"/>
      <c r="H290" s="178" t="s">
        <v>35</v>
      </c>
      <c r="I290" s="180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79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"),35)</f>
        <v>35</v>
      </c>
      <c r="K290" s="159">
        <f t="shared" ref="K290:K291" ca="1" si="155">IF(I290&gt;0,J290*100/I290,0)</f>
        <v>23.333333333333332</v>
      </c>
      <c r="L290" s="159"/>
      <c r="M290" s="159"/>
      <c r="N290" s="159"/>
      <c r="O290" s="159"/>
      <c r="P290" s="159"/>
    </row>
    <row r="291" spans="1:26" ht="20.25" customHeight="1">
      <c r="A291" s="166"/>
      <c r="B291" s="167"/>
      <c r="C291" s="167"/>
      <c r="D291" s="174"/>
      <c r="E291" s="408" t="s">
        <v>133</v>
      </c>
      <c r="F291" s="174"/>
      <c r="G291" s="175"/>
      <c r="H291" s="178" t="s">
        <v>35</v>
      </c>
      <c r="I291" s="180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79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"),35)</f>
        <v>35</v>
      </c>
      <c r="K291" s="159">
        <f t="shared" ca="1" si="155"/>
        <v>23.333333333333332</v>
      </c>
      <c r="L291" s="159"/>
      <c r="M291" s="159"/>
      <c r="N291" s="159"/>
      <c r="O291" s="159"/>
      <c r="P291" s="159"/>
    </row>
    <row r="292" spans="1:26" ht="20.25" customHeight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20.25" customHeight="1">
      <c r="A293" s="166"/>
      <c r="B293" s="167"/>
      <c r="C293" s="167"/>
      <c r="D293" s="410"/>
      <c r="E293" s="408" t="s">
        <v>135</v>
      </c>
      <c r="F293" s="174"/>
      <c r="G293" s="175"/>
      <c r="H293" s="178" t="s">
        <v>35</v>
      </c>
      <c r="I293" s="180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79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"),0)</f>
        <v>0</v>
      </c>
      <c r="K293" s="159">
        <f t="shared" ref="K293:K294" ca="1" si="156">IF(I293&gt;0,J293*100/I293,0)</f>
        <v>0</v>
      </c>
      <c r="L293" s="159"/>
      <c r="M293" s="159"/>
      <c r="N293" s="159"/>
      <c r="O293" s="159"/>
      <c r="P293" s="159"/>
    </row>
    <row r="294" spans="1:26" ht="20.25" customHeight="1">
      <c r="A294" s="375"/>
      <c r="B294" s="376"/>
      <c r="C294" s="376"/>
      <c r="D294" s="378"/>
      <c r="E294" s="419" t="s">
        <v>136</v>
      </c>
      <c r="F294" s="378"/>
      <c r="G294" s="379"/>
      <c r="H294" s="420" t="s">
        <v>35</v>
      </c>
      <c r="I294" s="421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2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"),0)</f>
        <v>0</v>
      </c>
      <c r="K294" s="382">
        <f t="shared" ca="1" si="156"/>
        <v>0</v>
      </c>
      <c r="L294" s="382"/>
      <c r="M294" s="382"/>
      <c r="N294" s="382"/>
      <c r="O294" s="382"/>
      <c r="P294" s="382"/>
    </row>
    <row r="295" spans="1:26" ht="20.25" customHeight="1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20.25" customHeight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20.25" customHeight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57">I309</f>
        <v>225</v>
      </c>
      <c r="J297" s="442">
        <f t="shared" ca="1" si="157"/>
        <v>30</v>
      </c>
      <c r="K297" s="443">
        <f ca="1">IF(I297&gt;0,J297*100/I297,0)</f>
        <v>13.333333333333334</v>
      </c>
      <c r="L297" s="444"/>
      <c r="M297" s="444"/>
      <c r="N297" s="444"/>
      <c r="O297" s="444"/>
      <c r="P297" s="444"/>
    </row>
    <row r="298" spans="1:26" ht="20.25" customHeight="1">
      <c r="A298" s="143"/>
      <c r="B298" s="144"/>
      <c r="C298" s="145" t="s">
        <v>16</v>
      </c>
      <c r="D298" s="146" t="s">
        <v>17</v>
      </c>
      <c r="E298" s="144"/>
      <c r="F298" s="144"/>
      <c r="G298" s="147"/>
      <c r="H298" s="148" t="s">
        <v>12</v>
      </c>
      <c r="I298" s="149"/>
      <c r="J298" s="149"/>
      <c r="K298" s="150"/>
      <c r="L298" s="151">
        <f t="shared" ref="L298:N298" ca="1" si="158">L299+L300</f>
        <v>2220000</v>
      </c>
      <c r="M298" s="151">
        <f t="shared" ca="1" si="158"/>
        <v>1140600</v>
      </c>
      <c r="N298" s="151">
        <f t="shared" ca="1" si="158"/>
        <v>327474.78000000003</v>
      </c>
      <c r="O298" s="151">
        <f t="shared" ref="O298:O306" ca="1" si="159">IF(L298&gt;0,N298*100/L298,0)</f>
        <v>14.751116216216218</v>
      </c>
      <c r="P298" s="151">
        <f t="shared" ref="P298:P306" ca="1" si="160">IF(M298&gt;0,N298*100/M298,0)</f>
        <v>28.710746975276173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0.25" hidden="1" customHeight="1">
      <c r="A299" s="152"/>
      <c r="B299" s="39"/>
      <c r="C299" s="39"/>
      <c r="D299" s="39"/>
      <c r="E299" s="40" t="s">
        <v>18</v>
      </c>
      <c r="F299" s="39"/>
      <c r="G299" s="153"/>
      <c r="H299" s="154" t="s">
        <v>12</v>
      </c>
      <c r="I299" s="43"/>
      <c r="J299" s="43"/>
      <c r="K299" s="44"/>
      <c r="L299" s="44">
        <f t="shared" ref="L299:N299" si="161">L302+L305</f>
        <v>0</v>
      </c>
      <c r="M299" s="44">
        <f t="shared" si="161"/>
        <v>0</v>
      </c>
      <c r="N299" s="44">
        <f t="shared" si="161"/>
        <v>0</v>
      </c>
      <c r="O299" s="44">
        <f t="shared" si="159"/>
        <v>0</v>
      </c>
      <c r="P299" s="44">
        <f t="shared" si="160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20.25" hidden="1" customHeight="1">
      <c r="A300" s="152"/>
      <c r="B300" s="39"/>
      <c r="C300" s="39"/>
      <c r="D300" s="39"/>
      <c r="E300" s="40" t="s">
        <v>19</v>
      </c>
      <c r="F300" s="39"/>
      <c r="G300" s="153"/>
      <c r="H300" s="154" t="s">
        <v>12</v>
      </c>
      <c r="I300" s="43"/>
      <c r="J300" s="43"/>
      <c r="K300" s="44"/>
      <c r="L300" s="44">
        <f t="shared" ref="L300:N300" ca="1" si="162">L303+L306</f>
        <v>2220000</v>
      </c>
      <c r="M300" s="44">
        <f t="shared" ca="1" si="162"/>
        <v>1140600</v>
      </c>
      <c r="N300" s="44">
        <f t="shared" ca="1" si="162"/>
        <v>327474.78000000003</v>
      </c>
      <c r="O300" s="44">
        <f t="shared" ca="1" si="159"/>
        <v>14.751116216216218</v>
      </c>
      <c r="P300" s="44">
        <f t="shared" ca="1" si="160"/>
        <v>28.710746975276173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20.25" customHeight="1">
      <c r="A301" s="155"/>
      <c r="B301" s="32"/>
      <c r="C301" s="156"/>
      <c r="D301" s="33" t="s">
        <v>20</v>
      </c>
      <c r="E301" s="32"/>
      <c r="F301" s="32"/>
      <c r="G301" s="34"/>
      <c r="H301" s="157" t="s">
        <v>12</v>
      </c>
      <c r="I301" s="158"/>
      <c r="J301" s="158"/>
      <c r="K301" s="159"/>
      <c r="L301" s="37">
        <f t="shared" ref="L301:N301" ca="1" si="163">L302+L303</f>
        <v>2220000</v>
      </c>
      <c r="M301" s="37">
        <f t="shared" ca="1" si="163"/>
        <v>1140600</v>
      </c>
      <c r="N301" s="37">
        <f t="shared" ca="1" si="163"/>
        <v>327474.78000000003</v>
      </c>
      <c r="O301" s="37">
        <f t="shared" ca="1" si="159"/>
        <v>14.751116216216218</v>
      </c>
      <c r="P301" s="37">
        <f t="shared" ca="1" si="160"/>
        <v>28.710746975276173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0.25" hidden="1" customHeight="1">
      <c r="A302" s="152"/>
      <c r="B302" s="39"/>
      <c r="C302" s="160"/>
      <c r="D302" s="39"/>
      <c r="E302" s="40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44">
        <f t="shared" si="159"/>
        <v>0</v>
      </c>
      <c r="P302" s="44">
        <f t="shared" si="160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20.25" hidden="1" customHeight="1">
      <c r="A303" s="152"/>
      <c r="B303" s="39"/>
      <c r="C303" s="160"/>
      <c r="D303" s="39"/>
      <c r="E303" s="40" t="s">
        <v>37</v>
      </c>
      <c r="F303" s="39"/>
      <c r="G303" s="153"/>
      <c r="H303" s="161" t="s">
        <v>12</v>
      </c>
      <c r="I303" s="162"/>
      <c r="J303" s="162"/>
      <c r="K303" s="163"/>
      <c r="L303" s="44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4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"),1140600)</f>
        <v>1140600</v>
      </c>
      <c r="N303" s="44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"),327474.78)</f>
        <v>327474.78000000003</v>
      </c>
      <c r="O303" s="44">
        <f t="shared" ca="1" si="159"/>
        <v>14.751116216216218</v>
      </c>
      <c r="P303" s="44">
        <f t="shared" ca="1" si="160"/>
        <v>28.710746975276173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20.25" customHeight="1">
      <c r="A304" s="155"/>
      <c r="B304" s="32"/>
      <c r="C304" s="156"/>
      <c r="D304" s="33" t="s">
        <v>21</v>
      </c>
      <c r="E304" s="32"/>
      <c r="F304" s="32"/>
      <c r="G304" s="34"/>
      <c r="H304" s="164" t="s">
        <v>12</v>
      </c>
      <c r="I304" s="158"/>
      <c r="J304" s="158"/>
      <c r="K304" s="159"/>
      <c r="L304" s="37">
        <f t="shared" ref="L304:N304" ca="1" si="164">L305+L306</f>
        <v>0</v>
      </c>
      <c r="M304" s="37">
        <f t="shared" ca="1" si="164"/>
        <v>0</v>
      </c>
      <c r="N304" s="37">
        <f t="shared" ca="1" si="164"/>
        <v>0</v>
      </c>
      <c r="O304" s="37">
        <f t="shared" ca="1" si="159"/>
        <v>0</v>
      </c>
      <c r="P304" s="37">
        <f t="shared" ca="1" si="160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0.25" hidden="1" customHeight="1">
      <c r="A305" s="152"/>
      <c r="B305" s="39"/>
      <c r="C305" s="160"/>
      <c r="D305" s="39"/>
      <c r="E305" s="40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44">
        <f t="shared" si="159"/>
        <v>0</v>
      </c>
      <c r="P305" s="44">
        <f t="shared" si="160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20.25" hidden="1" customHeight="1">
      <c r="A306" s="152"/>
      <c r="B306" s="39"/>
      <c r="C306" s="160"/>
      <c r="D306" s="39"/>
      <c r="E306" s="40" t="s">
        <v>19</v>
      </c>
      <c r="F306" s="39"/>
      <c r="G306" s="153"/>
      <c r="H306" s="165" t="s">
        <v>12</v>
      </c>
      <c r="I306" s="162"/>
      <c r="J306" s="162"/>
      <c r="K306" s="163"/>
      <c r="L306" s="44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4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4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4">
        <f t="shared" ca="1" si="159"/>
        <v>0</v>
      </c>
      <c r="P306" s="44">
        <f t="shared" ca="1" si="160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20.25" customHeight="1">
      <c r="A307" s="166"/>
      <c r="B307" s="167"/>
      <c r="C307" s="160" t="s">
        <v>16</v>
      </c>
      <c r="D307" s="168" t="s">
        <v>38</v>
      </c>
      <c r="E307" s="169"/>
      <c r="F307" s="169"/>
      <c r="G307" s="170"/>
      <c r="H307" s="171"/>
      <c r="I307" s="36"/>
      <c r="J307" s="36"/>
      <c r="K307" s="37"/>
      <c r="L307" s="37"/>
      <c r="M307" s="37"/>
      <c r="N307" s="37"/>
      <c r="O307" s="37"/>
      <c r="P307" s="37"/>
    </row>
    <row r="308" spans="1:26" ht="20.25" customHeight="1">
      <c r="A308" s="166"/>
      <c r="B308" s="167"/>
      <c r="C308" s="167"/>
      <c r="D308" s="445" t="s">
        <v>140</v>
      </c>
      <c r="E308" s="173"/>
      <c r="F308" s="173"/>
      <c r="G308" s="175"/>
      <c r="H308" s="178"/>
      <c r="I308" s="36"/>
      <c r="J308" s="179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"),2)</f>
        <v>2</v>
      </c>
      <c r="K308" s="37"/>
      <c r="L308" s="37"/>
      <c r="M308" s="37"/>
      <c r="N308" s="37"/>
      <c r="O308" s="37"/>
      <c r="P308" s="37"/>
    </row>
    <row r="309" spans="1:26" ht="20.25" customHeight="1">
      <c r="A309" s="166"/>
      <c r="B309" s="167"/>
      <c r="C309" s="167"/>
      <c r="D309" s="177" t="s">
        <v>141</v>
      </c>
      <c r="E309" s="173"/>
      <c r="F309" s="173"/>
      <c r="G309" s="175"/>
      <c r="H309" s="178" t="s">
        <v>35</v>
      </c>
      <c r="I309" s="36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79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"),30)</f>
        <v>30</v>
      </c>
      <c r="K309" s="37">
        <f t="shared" ref="K309:K312" ca="1" si="165">IF(I309&gt;0,J309*100/I309,0)</f>
        <v>13.333333333333334</v>
      </c>
      <c r="L309" s="37"/>
      <c r="M309" s="37"/>
      <c r="N309" s="37"/>
      <c r="O309" s="37"/>
      <c r="P309" s="37"/>
    </row>
    <row r="310" spans="1:26" ht="20.25" customHeight="1">
      <c r="A310" s="166"/>
      <c r="B310" s="167"/>
      <c r="C310" s="167"/>
      <c r="D310" s="445" t="s">
        <v>142</v>
      </c>
      <c r="E310" s="173"/>
      <c r="F310" s="173"/>
      <c r="G310" s="175"/>
      <c r="H310" s="178" t="s">
        <v>35</v>
      </c>
      <c r="I310" s="36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79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"),15)</f>
        <v>15</v>
      </c>
      <c r="K310" s="37">
        <f t="shared" ca="1" si="165"/>
        <v>6.666666666666667</v>
      </c>
      <c r="L310" s="37"/>
      <c r="M310" s="37"/>
      <c r="N310" s="37"/>
      <c r="O310" s="37"/>
      <c r="P310" s="37"/>
    </row>
    <row r="311" spans="1:26" ht="20.25" customHeight="1">
      <c r="A311" s="166"/>
      <c r="B311" s="167"/>
      <c r="C311" s="167"/>
      <c r="D311" s="445" t="s">
        <v>59</v>
      </c>
      <c r="E311" s="173"/>
      <c r="F311" s="173"/>
      <c r="G311" s="175"/>
      <c r="H311" s="446" t="s">
        <v>35</v>
      </c>
      <c r="I311" s="36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79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"),0)</f>
        <v>0</v>
      </c>
      <c r="K311" s="37">
        <f t="shared" ca="1" si="165"/>
        <v>0</v>
      </c>
      <c r="L311" s="37"/>
      <c r="M311" s="37"/>
      <c r="N311" s="37"/>
      <c r="O311" s="37"/>
      <c r="P311" s="37"/>
    </row>
    <row r="312" spans="1:26" ht="20.25" customHeight="1">
      <c r="A312" s="166"/>
      <c r="B312" s="167"/>
      <c r="C312" s="167"/>
      <c r="D312" s="445" t="s">
        <v>143</v>
      </c>
      <c r="E312" s="173"/>
      <c r="F312" s="173"/>
      <c r="G312" s="175"/>
      <c r="H312" s="178" t="s">
        <v>35</v>
      </c>
      <c r="I312" s="36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79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"),0)</f>
        <v>0</v>
      </c>
      <c r="K312" s="37">
        <f t="shared" ca="1" si="165"/>
        <v>0</v>
      </c>
      <c r="L312" s="37"/>
      <c r="M312" s="37"/>
      <c r="N312" s="37"/>
      <c r="O312" s="37"/>
      <c r="P312" s="37"/>
    </row>
    <row r="313" spans="1:26" ht="20.25" customHeight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20.25" customHeight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66">I325</f>
        <v>5</v>
      </c>
      <c r="J314" s="442">
        <f t="shared" ca="1" si="166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20.25" customHeight="1">
      <c r="A315" s="143"/>
      <c r="B315" s="144"/>
      <c r="C315" s="145" t="s">
        <v>16</v>
      </c>
      <c r="D315" s="146" t="s">
        <v>17</v>
      </c>
      <c r="E315" s="144"/>
      <c r="F315" s="144"/>
      <c r="G315" s="147"/>
      <c r="H315" s="148" t="s">
        <v>12</v>
      </c>
      <c r="I315" s="149"/>
      <c r="J315" s="149"/>
      <c r="K315" s="150"/>
      <c r="L315" s="151">
        <f t="shared" ref="L315:N315" ca="1" si="167">L316+L317</f>
        <v>459000</v>
      </c>
      <c r="M315" s="151">
        <f t="shared" si="167"/>
        <v>0</v>
      </c>
      <c r="N315" s="151">
        <f t="shared" ca="1" si="167"/>
        <v>57178.59</v>
      </c>
      <c r="O315" s="151">
        <f t="shared" ref="O315:O323" ca="1" si="168">IF(L315&gt;0,N315*100/L315,0)</f>
        <v>12.457209150326797</v>
      </c>
      <c r="P315" s="151">
        <f t="shared" ref="P315:P319" si="169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0.25" hidden="1" customHeight="1">
      <c r="A316" s="152"/>
      <c r="B316" s="39"/>
      <c r="C316" s="39"/>
      <c r="D316" s="39"/>
      <c r="E316" s="40" t="s">
        <v>18</v>
      </c>
      <c r="F316" s="39"/>
      <c r="G316" s="153"/>
      <c r="H316" s="154" t="s">
        <v>12</v>
      </c>
      <c r="I316" s="43"/>
      <c r="J316" s="43"/>
      <c r="K316" s="44"/>
      <c r="L316" s="44">
        <f t="shared" ref="L316:L317" si="170">L319+L322</f>
        <v>0</v>
      </c>
      <c r="M316" s="44">
        <f>M319+M462</f>
        <v>0</v>
      </c>
      <c r="N316" s="44">
        <f t="shared" ref="N316:N317" si="171">N319+N322</f>
        <v>0</v>
      </c>
      <c r="O316" s="44">
        <f t="shared" si="168"/>
        <v>0</v>
      </c>
      <c r="P316" s="44">
        <f t="shared" si="169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20.25" hidden="1" customHeight="1">
      <c r="A317" s="152"/>
      <c r="B317" s="39"/>
      <c r="C317" s="39"/>
      <c r="D317" s="39"/>
      <c r="E317" s="40" t="s">
        <v>19</v>
      </c>
      <c r="F317" s="39"/>
      <c r="G317" s="153"/>
      <c r="H317" s="154" t="s">
        <v>12</v>
      </c>
      <c r="I317" s="43"/>
      <c r="J317" s="43"/>
      <c r="K317" s="44"/>
      <c r="L317" s="44">
        <f t="shared" ca="1" si="170"/>
        <v>459000</v>
      </c>
      <c r="M317" s="44">
        <f>M460+M463</f>
        <v>0</v>
      </c>
      <c r="N317" s="44">
        <f t="shared" ca="1" si="171"/>
        <v>57178.59</v>
      </c>
      <c r="O317" s="44">
        <f t="shared" ca="1" si="168"/>
        <v>12.457209150326797</v>
      </c>
      <c r="P317" s="44">
        <f t="shared" si="169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20.25" customHeight="1">
      <c r="A318" s="155"/>
      <c r="B318" s="32"/>
      <c r="C318" s="156"/>
      <c r="D318" s="33" t="s">
        <v>20</v>
      </c>
      <c r="E318" s="32"/>
      <c r="F318" s="32"/>
      <c r="G318" s="34"/>
      <c r="H318" s="157" t="s">
        <v>12</v>
      </c>
      <c r="I318" s="158"/>
      <c r="J318" s="158"/>
      <c r="K318" s="159"/>
      <c r="L318" s="37">
        <f ca="1">L319+L320</f>
        <v>459000</v>
      </c>
      <c r="M318" s="37">
        <f>M319+M460</f>
        <v>0</v>
      </c>
      <c r="N318" s="37">
        <f ca="1">N319+N320</f>
        <v>57178.59</v>
      </c>
      <c r="O318" s="37">
        <f t="shared" ca="1" si="168"/>
        <v>12.457209150326797</v>
      </c>
      <c r="P318" s="37">
        <f t="shared" si="169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0.25" hidden="1" customHeight="1">
      <c r="A319" s="152"/>
      <c r="B319" s="39"/>
      <c r="C319" s="160"/>
      <c r="D319" s="39"/>
      <c r="E319" s="40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44">
        <f t="shared" si="168"/>
        <v>0</v>
      </c>
      <c r="P319" s="44">
        <f t="shared" si="169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20.25" hidden="1" customHeight="1">
      <c r="A320" s="152"/>
      <c r="B320" s="39"/>
      <c r="C320" s="160"/>
      <c r="D320" s="39"/>
      <c r="E320" s="40" t="s">
        <v>37</v>
      </c>
      <c r="F320" s="39"/>
      <c r="G320" s="153"/>
      <c r="H320" s="161" t="s">
        <v>12</v>
      </c>
      <c r="I320" s="162"/>
      <c r="J320" s="162"/>
      <c r="K320" s="163"/>
      <c r="L320" s="44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4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"),229500)</f>
        <v>229500</v>
      </c>
      <c r="N320" s="44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"),57178.59)</f>
        <v>57178.59</v>
      </c>
      <c r="O320" s="44">
        <f t="shared" ca="1" si="168"/>
        <v>12.457209150326797</v>
      </c>
      <c r="P320" s="44">
        <f t="shared" ref="P320:P323" si="172">IF(M460&gt;0,N320*100/M460,0)</f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20.25" customHeight="1">
      <c r="A321" s="155"/>
      <c r="B321" s="32"/>
      <c r="C321" s="156"/>
      <c r="D321" s="33" t="s">
        <v>21</v>
      </c>
      <c r="E321" s="32"/>
      <c r="F321" s="32"/>
      <c r="G321" s="34"/>
      <c r="H321" s="164" t="s">
        <v>12</v>
      </c>
      <c r="I321" s="158"/>
      <c r="J321" s="158"/>
      <c r="K321" s="159"/>
      <c r="L321" s="37">
        <f ca="1">L322+L323</f>
        <v>0</v>
      </c>
      <c r="M321" s="37">
        <f>M462+M463</f>
        <v>0</v>
      </c>
      <c r="N321" s="37">
        <f ca="1">N322+N323</f>
        <v>0</v>
      </c>
      <c r="O321" s="37">
        <f t="shared" ca="1" si="168"/>
        <v>0</v>
      </c>
      <c r="P321" s="37">
        <f t="shared" si="172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0.25" hidden="1" customHeight="1">
      <c r="A322" s="152"/>
      <c r="B322" s="39"/>
      <c r="C322" s="160"/>
      <c r="D322" s="39"/>
      <c r="E322" s="40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44">
        <f t="shared" si="168"/>
        <v>0</v>
      </c>
      <c r="P322" s="44">
        <f t="shared" si="172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20.25" hidden="1" customHeight="1">
      <c r="A323" s="152"/>
      <c r="B323" s="39"/>
      <c r="C323" s="160"/>
      <c r="D323" s="39"/>
      <c r="E323" s="40" t="s">
        <v>19</v>
      </c>
      <c r="F323" s="39"/>
      <c r="G323" s="153"/>
      <c r="H323" s="165" t="s">
        <v>12</v>
      </c>
      <c r="I323" s="162"/>
      <c r="J323" s="162"/>
      <c r="K323" s="163"/>
      <c r="L323" s="44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4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4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4">
        <f t="shared" ca="1" si="168"/>
        <v>0</v>
      </c>
      <c r="P323" s="44">
        <f t="shared" si="172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20.25" customHeight="1">
      <c r="A324" s="166"/>
      <c r="B324" s="167"/>
      <c r="C324" s="160" t="s">
        <v>16</v>
      </c>
      <c r="D324" s="168" t="s">
        <v>38</v>
      </c>
      <c r="E324" s="169"/>
      <c r="F324" s="169"/>
      <c r="G324" s="170"/>
      <c r="H324" s="171"/>
      <c r="I324" s="158"/>
      <c r="J324" s="36"/>
      <c r="K324" s="37"/>
      <c r="L324" s="37"/>
      <c r="M324" s="37"/>
      <c r="N324" s="37"/>
      <c r="O324" s="159"/>
      <c r="P324" s="159"/>
    </row>
    <row r="325" spans="1:26" ht="20.25" customHeight="1">
      <c r="A325" s="166"/>
      <c r="B325" s="167"/>
      <c r="C325" s="167"/>
      <c r="D325" s="172" t="s">
        <v>147</v>
      </c>
      <c r="E325" s="174"/>
      <c r="F325" s="177"/>
      <c r="G325" s="175"/>
      <c r="H325" s="35" t="s">
        <v>146</v>
      </c>
      <c r="I325" s="36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79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"),0)</f>
        <v>0</v>
      </c>
      <c r="K325" s="37">
        <f ca="1">IF(I325&gt;0,J325*100/I325,0)</f>
        <v>0</v>
      </c>
      <c r="L325" s="37"/>
      <c r="M325" s="37"/>
      <c r="N325" s="37"/>
      <c r="O325" s="159"/>
      <c r="P325" s="159"/>
    </row>
    <row r="326" spans="1:26" ht="20.25" customHeight="1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20.25" customHeight="1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2">
        <f ca="1">J338+J341+J342+J343</f>
        <v>9196</v>
      </c>
      <c r="K327" s="443">
        <f ca="1">IF(I327&gt;0,J327*100/I327,0)</f>
        <v>31.601374570446737</v>
      </c>
      <c r="L327" s="444"/>
      <c r="M327" s="444"/>
      <c r="N327" s="444"/>
      <c r="O327" s="444"/>
      <c r="P327" s="444"/>
    </row>
    <row r="328" spans="1:26" ht="20.25" customHeight="1">
      <c r="A328" s="143"/>
      <c r="B328" s="144"/>
      <c r="C328" s="145" t="s">
        <v>16</v>
      </c>
      <c r="D328" s="146" t="s">
        <v>17</v>
      </c>
      <c r="E328" s="144"/>
      <c r="F328" s="144"/>
      <c r="G328" s="147"/>
      <c r="H328" s="148" t="s">
        <v>12</v>
      </c>
      <c r="I328" s="149"/>
      <c r="J328" s="149"/>
      <c r="K328" s="150"/>
      <c r="L328" s="151">
        <f ca="1">L329+L330</f>
        <v>7746800</v>
      </c>
      <c r="M328" s="151">
        <f ca="1">M469+M330</f>
        <v>4779400</v>
      </c>
      <c r="N328" s="151">
        <f ca="1">N329+N330</f>
        <v>882921.32</v>
      </c>
      <c r="O328" s="151">
        <f t="shared" ref="O328:O336" ca="1" si="173">IF(L328&gt;0,N328*100/L328,0)</f>
        <v>11.397239118087468</v>
      </c>
      <c r="P328" s="151">
        <f t="shared" ref="P328:P329" si="174">IF(M468&gt;0,N328*100/M468,0)</f>
        <v>0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0.25" hidden="1" customHeight="1">
      <c r="A329" s="152"/>
      <c r="B329" s="39"/>
      <c r="C329" s="39"/>
      <c r="D329" s="39"/>
      <c r="E329" s="40" t="s">
        <v>18</v>
      </c>
      <c r="F329" s="39"/>
      <c r="G329" s="153"/>
      <c r="H329" s="154" t="s">
        <v>12</v>
      </c>
      <c r="I329" s="43"/>
      <c r="J329" s="43"/>
      <c r="K329" s="44"/>
      <c r="L329" s="44">
        <f t="shared" ref="L329:N329" si="175">L332+L335</f>
        <v>0</v>
      </c>
      <c r="M329" s="44">
        <f t="shared" si="175"/>
        <v>0</v>
      </c>
      <c r="N329" s="44">
        <f t="shared" si="175"/>
        <v>0</v>
      </c>
      <c r="O329" s="44">
        <f t="shared" si="173"/>
        <v>0</v>
      </c>
      <c r="P329" s="44">
        <f t="shared" si="174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20.25" hidden="1" customHeight="1">
      <c r="A330" s="152"/>
      <c r="B330" s="39"/>
      <c r="C330" s="39"/>
      <c r="D330" s="39"/>
      <c r="E330" s="40" t="s">
        <v>19</v>
      </c>
      <c r="F330" s="39"/>
      <c r="G330" s="153"/>
      <c r="H330" s="154" t="s">
        <v>12</v>
      </c>
      <c r="I330" s="43"/>
      <c r="J330" s="43"/>
      <c r="K330" s="44"/>
      <c r="L330" s="44">
        <f t="shared" ref="L330:N330" ca="1" si="176">L333+L336</f>
        <v>7746800</v>
      </c>
      <c r="M330" s="44">
        <f t="shared" ca="1" si="176"/>
        <v>4779400</v>
      </c>
      <c r="N330" s="44">
        <f t="shared" ca="1" si="176"/>
        <v>882921.32</v>
      </c>
      <c r="O330" s="44">
        <f t="shared" ca="1" si="173"/>
        <v>11.397239118087468</v>
      </c>
      <c r="P330" s="44">
        <f t="shared" ref="P330:P336" ca="1" si="177">IF(M330&gt;0,N330*100/M330,0)</f>
        <v>18.473476168556722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20.25" customHeight="1">
      <c r="A331" s="155"/>
      <c r="B331" s="32"/>
      <c r="C331" s="156"/>
      <c r="D331" s="33" t="s">
        <v>20</v>
      </c>
      <c r="E331" s="32"/>
      <c r="F331" s="32"/>
      <c r="G331" s="34"/>
      <c r="H331" s="157" t="s">
        <v>12</v>
      </c>
      <c r="I331" s="158"/>
      <c r="J331" s="158"/>
      <c r="K331" s="159"/>
      <c r="L331" s="37">
        <f t="shared" ref="L331:N331" ca="1" si="178">L332+L333</f>
        <v>5934800</v>
      </c>
      <c r="M331" s="37">
        <f t="shared" ca="1" si="178"/>
        <v>2967400</v>
      </c>
      <c r="N331" s="37">
        <f t="shared" ca="1" si="178"/>
        <v>882921.32</v>
      </c>
      <c r="O331" s="37">
        <f t="shared" ca="1" si="173"/>
        <v>14.87701893913864</v>
      </c>
      <c r="P331" s="37">
        <f t="shared" ca="1" si="177"/>
        <v>29.754037878277281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0.25" hidden="1" customHeight="1">
      <c r="A332" s="152"/>
      <c r="B332" s="39"/>
      <c r="C332" s="160"/>
      <c r="D332" s="39"/>
      <c r="E332" s="40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44">
        <f t="shared" si="173"/>
        <v>0</v>
      </c>
      <c r="P332" s="44">
        <f t="shared" si="177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20.25" hidden="1" customHeight="1">
      <c r="A333" s="152"/>
      <c r="B333" s="39"/>
      <c r="C333" s="160"/>
      <c r="D333" s="39"/>
      <c r="E333" s="40" t="s">
        <v>37</v>
      </c>
      <c r="F333" s="39"/>
      <c r="G333" s="153"/>
      <c r="H333" s="161" t="s">
        <v>12</v>
      </c>
      <c r="I333" s="162"/>
      <c r="J333" s="162"/>
      <c r="K333" s="163"/>
      <c r="L333" s="44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4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"),2967400)</f>
        <v>2967400</v>
      </c>
      <c r="N333" s="44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"),882921.32)</f>
        <v>882921.32</v>
      </c>
      <c r="O333" s="44">
        <f t="shared" ca="1" si="173"/>
        <v>14.87701893913864</v>
      </c>
      <c r="P333" s="44">
        <f t="shared" ca="1" si="177"/>
        <v>29.754037878277281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20.25" customHeight="1">
      <c r="A334" s="155"/>
      <c r="B334" s="32"/>
      <c r="C334" s="156"/>
      <c r="D334" s="33" t="s">
        <v>21</v>
      </c>
      <c r="E334" s="32"/>
      <c r="F334" s="32"/>
      <c r="G334" s="34"/>
      <c r="H334" s="164" t="s">
        <v>12</v>
      </c>
      <c r="I334" s="158"/>
      <c r="J334" s="158"/>
      <c r="K334" s="159"/>
      <c r="L334" s="37">
        <f t="shared" ref="L334:N334" ca="1" si="179">L335+L336</f>
        <v>1812000</v>
      </c>
      <c r="M334" s="37">
        <f t="shared" ca="1" si="179"/>
        <v>1812000</v>
      </c>
      <c r="N334" s="37">
        <f t="shared" ca="1" si="179"/>
        <v>0</v>
      </c>
      <c r="O334" s="37">
        <f t="shared" ca="1" si="173"/>
        <v>0</v>
      </c>
      <c r="P334" s="37">
        <f t="shared" ca="1" si="177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0.25" hidden="1" customHeight="1">
      <c r="A335" s="152"/>
      <c r="B335" s="39"/>
      <c r="C335" s="160"/>
      <c r="D335" s="39"/>
      <c r="E335" s="40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44">
        <f t="shared" si="173"/>
        <v>0</v>
      </c>
      <c r="P335" s="44">
        <f t="shared" si="177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20.25" hidden="1" customHeight="1">
      <c r="A336" s="152"/>
      <c r="B336" s="39"/>
      <c r="C336" s="160"/>
      <c r="D336" s="39"/>
      <c r="E336" s="40" t="s">
        <v>19</v>
      </c>
      <c r="F336" s="39"/>
      <c r="G336" s="153"/>
      <c r="H336" s="165" t="s">
        <v>12</v>
      </c>
      <c r="I336" s="162"/>
      <c r="J336" s="162"/>
      <c r="K336" s="163"/>
      <c r="L336" s="44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4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"),1812000)</f>
        <v>1812000</v>
      </c>
      <c r="N336" s="44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"),0)</f>
        <v>0</v>
      </c>
      <c r="O336" s="44">
        <f t="shared" ca="1" si="173"/>
        <v>0</v>
      </c>
      <c r="P336" s="44">
        <f t="shared" ca="1" si="177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20.25" customHeight="1">
      <c r="A337" s="166"/>
      <c r="B337" s="167"/>
      <c r="C337" s="160" t="s">
        <v>16</v>
      </c>
      <c r="D337" s="168" t="s">
        <v>38</v>
      </c>
      <c r="E337" s="169"/>
      <c r="F337" s="169"/>
      <c r="G337" s="170"/>
      <c r="H337" s="171"/>
      <c r="I337" s="158"/>
      <c r="J337" s="36"/>
      <c r="K337" s="37"/>
      <c r="L337" s="37"/>
      <c r="M337" s="37"/>
      <c r="N337" s="37"/>
      <c r="O337" s="159"/>
      <c r="P337" s="159"/>
    </row>
    <row r="338" spans="1:26" ht="20.25" customHeight="1">
      <c r="A338" s="279"/>
      <c r="B338" s="32"/>
      <c r="C338" s="275"/>
      <c r="D338" s="177" t="s">
        <v>150</v>
      </c>
      <c r="E338" s="167"/>
      <c r="F338" s="32"/>
      <c r="G338" s="34"/>
      <c r="H338" s="271" t="s">
        <v>35</v>
      </c>
      <c r="I338" s="36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64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"),8392)</f>
        <v>8392</v>
      </c>
      <c r="K338" s="37">
        <f ca="1">IF(I338&gt;0,J338*100/I338,0)</f>
        <v>28.838487972508592</v>
      </c>
      <c r="L338" s="37"/>
      <c r="M338" s="37"/>
      <c r="N338" s="37"/>
      <c r="O338" s="37"/>
      <c r="P338" s="37"/>
    </row>
    <row r="339" spans="1:26" ht="20.25" customHeight="1">
      <c r="A339" s="279"/>
      <c r="B339" s="32"/>
      <c r="C339" s="275"/>
      <c r="D339" s="177" t="s">
        <v>151</v>
      </c>
      <c r="E339" s="167"/>
      <c r="F339" s="32"/>
      <c r="G339" s="34"/>
      <c r="H339" s="271"/>
      <c r="I339" s="36"/>
      <c r="J339" s="264"/>
      <c r="K339" s="37"/>
      <c r="L339" s="37"/>
      <c r="M339" s="37"/>
      <c r="N339" s="37"/>
      <c r="O339" s="37"/>
      <c r="P339" s="37"/>
    </row>
    <row r="340" spans="1:26" ht="20.25" customHeight="1">
      <c r="A340" s="279"/>
      <c r="B340" s="32"/>
      <c r="C340" s="275"/>
      <c r="D340" s="174"/>
      <c r="E340" s="177" t="s">
        <v>152</v>
      </c>
      <c r="F340" s="32"/>
      <c r="G340" s="34"/>
      <c r="H340" s="271" t="s">
        <v>153</v>
      </c>
      <c r="I340" s="36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64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"),11)</f>
        <v>11</v>
      </c>
      <c r="K340" s="37">
        <f ca="1">IF(I340&gt;0,J340*100/I340,0)</f>
        <v>13.75</v>
      </c>
      <c r="L340" s="37"/>
      <c r="M340" s="37"/>
      <c r="N340" s="37"/>
      <c r="O340" s="37"/>
      <c r="P340" s="37"/>
    </row>
    <row r="341" spans="1:26" ht="20.25" customHeight="1">
      <c r="A341" s="279"/>
      <c r="B341" s="32"/>
      <c r="C341" s="275"/>
      <c r="D341" s="174"/>
      <c r="E341" s="177" t="s">
        <v>154</v>
      </c>
      <c r="F341" s="32"/>
      <c r="G341" s="34"/>
      <c r="H341" s="271" t="s">
        <v>35</v>
      </c>
      <c r="I341" s="36"/>
      <c r="J341" s="264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"),803)</f>
        <v>803</v>
      </c>
      <c r="K341" s="37"/>
      <c r="L341" s="37"/>
      <c r="M341" s="37"/>
      <c r="N341" s="37"/>
      <c r="O341" s="37"/>
      <c r="P341" s="37"/>
    </row>
    <row r="342" spans="1:26" ht="20.25" customHeight="1">
      <c r="A342" s="279"/>
      <c r="B342" s="32"/>
      <c r="C342" s="275"/>
      <c r="D342" s="177" t="s">
        <v>155</v>
      </c>
      <c r="E342" s="174"/>
      <c r="F342" s="174"/>
      <c r="G342" s="34"/>
      <c r="H342" s="271" t="s">
        <v>35</v>
      </c>
      <c r="I342" s="36"/>
      <c r="J342" s="264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"),1)</f>
        <v>1</v>
      </c>
      <c r="K342" s="37"/>
      <c r="L342" s="37"/>
      <c r="M342" s="37"/>
      <c r="N342" s="37"/>
      <c r="O342" s="37"/>
      <c r="P342" s="37"/>
    </row>
    <row r="343" spans="1:26" ht="20.25" customHeight="1">
      <c r="A343" s="279"/>
      <c r="B343" s="32"/>
      <c r="C343" s="275"/>
      <c r="D343" s="177" t="s">
        <v>156</v>
      </c>
      <c r="E343" s="174"/>
      <c r="F343" s="174"/>
      <c r="G343" s="34"/>
      <c r="H343" s="271" t="s">
        <v>35</v>
      </c>
      <c r="I343" s="36"/>
      <c r="J343" s="264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"),0)</f>
        <v>0</v>
      </c>
      <c r="K343" s="37"/>
      <c r="L343" s="37"/>
      <c r="M343" s="37"/>
      <c r="N343" s="37"/>
      <c r="O343" s="37"/>
      <c r="P343" s="37"/>
    </row>
    <row r="344" spans="1:26" ht="20.25" customHeight="1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20.25" customHeight="1">
      <c r="A345" s="143"/>
      <c r="B345" s="144"/>
      <c r="C345" s="145" t="s">
        <v>16</v>
      </c>
      <c r="D345" s="146" t="s">
        <v>17</v>
      </c>
      <c r="E345" s="144"/>
      <c r="F345" s="144"/>
      <c r="G345" s="147"/>
      <c r="H345" s="148" t="s">
        <v>12</v>
      </c>
      <c r="I345" s="149"/>
      <c r="J345" s="149"/>
      <c r="K345" s="150"/>
      <c r="L345" s="151">
        <f t="shared" ref="L345:N345" ca="1" si="180">L346+L347</f>
        <v>13975670</v>
      </c>
      <c r="M345" s="151">
        <f t="shared" ca="1" si="180"/>
        <v>8176680</v>
      </c>
      <c r="N345" s="151">
        <f t="shared" ca="1" si="180"/>
        <v>4002748.29</v>
      </c>
      <c r="O345" s="151">
        <f t="shared" ref="O345:O353" ca="1" si="181">IF(L345&gt;0,N345*100/L345,0)</f>
        <v>28.640832890301503</v>
      </c>
      <c r="P345" s="151">
        <f t="shared" ref="P345:P353" ca="1" si="182">IF(M345&gt;0,N345*100/M345,0)</f>
        <v>48.953221723242194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0.25" hidden="1" customHeight="1">
      <c r="A346" s="152"/>
      <c r="B346" s="39"/>
      <c r="C346" s="39"/>
      <c r="D346" s="39"/>
      <c r="E346" s="40" t="s">
        <v>18</v>
      </c>
      <c r="F346" s="39"/>
      <c r="G346" s="153"/>
      <c r="H346" s="154" t="s">
        <v>12</v>
      </c>
      <c r="I346" s="43"/>
      <c r="J346" s="43"/>
      <c r="K346" s="44"/>
      <c r="L346" s="44">
        <f t="shared" ref="L346:N346" si="183">L349+L352</f>
        <v>0</v>
      </c>
      <c r="M346" s="44">
        <f t="shared" si="183"/>
        <v>0</v>
      </c>
      <c r="N346" s="44">
        <f t="shared" si="183"/>
        <v>0</v>
      </c>
      <c r="O346" s="44">
        <f t="shared" si="181"/>
        <v>0</v>
      </c>
      <c r="P346" s="44">
        <f t="shared" si="182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20.25" hidden="1" customHeight="1">
      <c r="A347" s="152"/>
      <c r="B347" s="39"/>
      <c r="C347" s="39"/>
      <c r="D347" s="39"/>
      <c r="E347" s="40" t="s">
        <v>19</v>
      </c>
      <c r="F347" s="39"/>
      <c r="G347" s="153"/>
      <c r="H347" s="154" t="s">
        <v>12</v>
      </c>
      <c r="I347" s="43"/>
      <c r="J347" s="43"/>
      <c r="K347" s="44"/>
      <c r="L347" s="44">
        <f t="shared" ref="L347:N347" ca="1" si="184">L350+L353</f>
        <v>13975670</v>
      </c>
      <c r="M347" s="44">
        <f t="shared" ca="1" si="184"/>
        <v>8176680</v>
      </c>
      <c r="N347" s="44">
        <f t="shared" ca="1" si="184"/>
        <v>4002748.29</v>
      </c>
      <c r="O347" s="44">
        <f t="shared" ca="1" si="181"/>
        <v>28.640832890301503</v>
      </c>
      <c r="P347" s="44">
        <f t="shared" ca="1" si="182"/>
        <v>48.953221723242194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20.25" customHeight="1">
      <c r="A348" s="155"/>
      <c r="B348" s="32"/>
      <c r="C348" s="156"/>
      <c r="D348" s="33" t="s">
        <v>20</v>
      </c>
      <c r="E348" s="32"/>
      <c r="F348" s="32"/>
      <c r="G348" s="34"/>
      <c r="H348" s="157" t="s">
        <v>12</v>
      </c>
      <c r="I348" s="158"/>
      <c r="J348" s="158"/>
      <c r="K348" s="159"/>
      <c r="L348" s="37">
        <f t="shared" ref="L348:N348" ca="1" si="185">L349+L350</f>
        <v>11809970</v>
      </c>
      <c r="M348" s="37">
        <f t="shared" ca="1" si="185"/>
        <v>6011740</v>
      </c>
      <c r="N348" s="37">
        <f t="shared" ca="1" si="185"/>
        <v>1839308.29</v>
      </c>
      <c r="O348" s="37">
        <f t="shared" ca="1" si="181"/>
        <v>15.574199511091052</v>
      </c>
      <c r="P348" s="37">
        <f t="shared" ca="1" si="182"/>
        <v>30.59527341501795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0.25" hidden="1" customHeight="1">
      <c r="A349" s="152"/>
      <c r="B349" s="39"/>
      <c r="C349" s="160"/>
      <c r="D349" s="39"/>
      <c r="E349" s="40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44">
        <f t="shared" si="181"/>
        <v>0</v>
      </c>
      <c r="P349" s="44">
        <f t="shared" si="182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20.25" hidden="1" customHeight="1">
      <c r="A350" s="152"/>
      <c r="B350" s="39"/>
      <c r="C350" s="160"/>
      <c r="D350" s="39"/>
      <c r="E350" s="40" t="s">
        <v>37</v>
      </c>
      <c r="F350" s="39"/>
      <c r="G350" s="153"/>
      <c r="H350" s="161" t="s">
        <v>12</v>
      </c>
      <c r="I350" s="162"/>
      <c r="J350" s="162"/>
      <c r="K350" s="163"/>
      <c r="L350" s="44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4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"),6011740)</f>
        <v>6011740</v>
      </c>
      <c r="N350" s="44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"),1839308.29)</f>
        <v>1839308.29</v>
      </c>
      <c r="O350" s="44">
        <f t="shared" ca="1" si="181"/>
        <v>15.574199511091052</v>
      </c>
      <c r="P350" s="44">
        <f t="shared" ca="1" si="182"/>
        <v>30.59527341501795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20.25" customHeight="1">
      <c r="A351" s="155"/>
      <c r="B351" s="32"/>
      <c r="C351" s="156"/>
      <c r="D351" s="33" t="s">
        <v>21</v>
      </c>
      <c r="E351" s="32"/>
      <c r="F351" s="32"/>
      <c r="G351" s="34"/>
      <c r="H351" s="164" t="s">
        <v>12</v>
      </c>
      <c r="I351" s="158"/>
      <c r="J351" s="158"/>
      <c r="K351" s="159"/>
      <c r="L351" s="37">
        <f t="shared" ref="L351:N351" ca="1" si="186">L352+L353</f>
        <v>2165700</v>
      </c>
      <c r="M351" s="37">
        <f t="shared" ca="1" si="186"/>
        <v>2164940</v>
      </c>
      <c r="N351" s="37">
        <f t="shared" ca="1" si="186"/>
        <v>2163440</v>
      </c>
      <c r="O351" s="37">
        <f t="shared" ca="1" si="181"/>
        <v>99.895645749642142</v>
      </c>
      <c r="P351" s="37">
        <f t="shared" ca="1" si="182"/>
        <v>99.930714015169016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0.25" hidden="1" customHeight="1">
      <c r="A352" s="152"/>
      <c r="B352" s="39"/>
      <c r="C352" s="160"/>
      <c r="D352" s="39"/>
      <c r="E352" s="40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44">
        <f t="shared" si="181"/>
        <v>0</v>
      </c>
      <c r="P352" s="44">
        <f t="shared" si="182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20.25" hidden="1" customHeight="1">
      <c r="A353" s="152"/>
      <c r="B353" s="39"/>
      <c r="C353" s="160"/>
      <c r="D353" s="39"/>
      <c r="E353" s="40" t="s">
        <v>19</v>
      </c>
      <c r="F353" s="39"/>
      <c r="G353" s="153"/>
      <c r="H353" s="165" t="s">
        <v>12</v>
      </c>
      <c r="I353" s="162"/>
      <c r="J353" s="162"/>
      <c r="K353" s="163"/>
      <c r="L353" s="44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4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"),2164940)</f>
        <v>2164940</v>
      </c>
      <c r="N353" s="44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4">
        <f t="shared" ca="1" si="181"/>
        <v>99.895645749642142</v>
      </c>
      <c r="P353" s="44">
        <f t="shared" ca="1" si="182"/>
        <v>99.930714015169016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20.25" customHeight="1">
      <c r="A354" s="250"/>
      <c r="B354" s="258"/>
      <c r="C354" s="251"/>
      <c r="D354" s="452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20.25" customHeight="1">
      <c r="A355" s="454"/>
      <c r="B355" s="455"/>
      <c r="C355" s="456"/>
      <c r="D355" s="457" t="s">
        <v>159</v>
      </c>
      <c r="E355" s="458"/>
      <c r="F355" s="458"/>
      <c r="G355" s="459"/>
      <c r="H355" s="460" t="s">
        <v>35</v>
      </c>
      <c r="I355" s="461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"),3064)</f>
        <v>3064</v>
      </c>
      <c r="J355" s="462">
        <f ca="1">J362</f>
        <v>34</v>
      </c>
      <c r="K355" s="463">
        <f ca="1">IF(I355&gt;0,J355*100/I355,0)</f>
        <v>1.1096605744125327</v>
      </c>
      <c r="L355" s="464"/>
      <c r="M355" s="464"/>
      <c r="N355" s="464"/>
      <c r="O355" s="464"/>
      <c r="P355" s="464"/>
    </row>
    <row r="356" spans="1:26" ht="20.25" customHeight="1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20.25" customHeight="1">
      <c r="A357" s="166"/>
      <c r="B357" s="167"/>
      <c r="C357" s="160" t="s">
        <v>16</v>
      </c>
      <c r="D357" s="168" t="s">
        <v>38</v>
      </c>
      <c r="E357" s="169"/>
      <c r="F357" s="169"/>
      <c r="G357" s="170"/>
      <c r="H357" s="171"/>
      <c r="I357" s="36"/>
      <c r="J357" s="36"/>
      <c r="K357" s="37"/>
      <c r="L357" s="159"/>
      <c r="M357" s="159"/>
      <c r="N357" s="159"/>
      <c r="O357" s="159"/>
      <c r="P357" s="159"/>
    </row>
    <row r="358" spans="1:26" ht="20.25" customHeight="1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"),455)</f>
        <v>455</v>
      </c>
      <c r="K358" s="37">
        <f t="shared" ref="K358:K365" si="187">IF(I358&gt;0,J358*100/I358,0)</f>
        <v>0</v>
      </c>
      <c r="L358" s="159"/>
      <c r="M358" s="159"/>
      <c r="N358" s="159"/>
      <c r="O358" s="159"/>
      <c r="P358" s="159"/>
    </row>
    <row r="359" spans="1:26" ht="20.25" customHeight="1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36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"),36018)</f>
        <v>36018</v>
      </c>
      <c r="J359" s="264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"),4870.48)</f>
        <v>4870.4799999999996</v>
      </c>
      <c r="K359" s="37">
        <f t="shared" ca="1" si="187"/>
        <v>13.522349936143039</v>
      </c>
      <c r="L359" s="159"/>
      <c r="M359" s="159"/>
      <c r="N359" s="159"/>
      <c r="O359" s="159"/>
      <c r="P359" s="159"/>
    </row>
    <row r="360" spans="1:26" ht="20.25" customHeight="1">
      <c r="A360" s="166"/>
      <c r="B360" s="174"/>
      <c r="C360" s="167"/>
      <c r="D360" s="174"/>
      <c r="E360" s="172" t="s">
        <v>162</v>
      </c>
      <c r="F360" s="174"/>
      <c r="G360" s="175"/>
      <c r="H360" s="178" t="s">
        <v>35</v>
      </c>
      <c r="I360" s="36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"),3064)</f>
        <v>3064</v>
      </c>
      <c r="J360" s="264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"),250)</f>
        <v>250</v>
      </c>
      <c r="K360" s="37">
        <f t="shared" ca="1" si="187"/>
        <v>8.1592689295039165</v>
      </c>
      <c r="L360" s="159"/>
      <c r="M360" s="159"/>
      <c r="N360" s="159"/>
      <c r="O360" s="159"/>
      <c r="P360" s="159"/>
    </row>
    <row r="361" spans="1:26" ht="20.25" customHeight="1">
      <c r="A361" s="166"/>
      <c r="B361" s="174"/>
      <c r="C361" s="167"/>
      <c r="D361" s="174"/>
      <c r="E361" s="174"/>
      <c r="F361" s="174"/>
      <c r="G361" s="175"/>
      <c r="H361" s="178" t="s">
        <v>46</v>
      </c>
      <c r="I361" s="264">
        <v>0</v>
      </c>
      <c r="J361" s="264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"),3682.85999999999)</f>
        <v>3682.8599999999901</v>
      </c>
      <c r="K361" s="37">
        <f t="shared" si="187"/>
        <v>0</v>
      </c>
      <c r="L361" s="159"/>
      <c r="M361" s="159"/>
      <c r="N361" s="159"/>
      <c r="O361" s="159"/>
      <c r="P361" s="159"/>
    </row>
    <row r="362" spans="1:26" ht="20.25" customHeight="1">
      <c r="A362" s="166"/>
      <c r="B362" s="174"/>
      <c r="C362" s="167"/>
      <c r="D362" s="174"/>
      <c r="E362" s="172" t="s">
        <v>163</v>
      </c>
      <c r="F362" s="174"/>
      <c r="G362" s="175"/>
      <c r="H362" s="178" t="s">
        <v>35</v>
      </c>
      <c r="I362" s="36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"),3064)</f>
        <v>3064</v>
      </c>
      <c r="J362" s="264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"),34)</f>
        <v>34</v>
      </c>
      <c r="K362" s="37">
        <f t="shared" ca="1" si="187"/>
        <v>1.1096605744125327</v>
      </c>
      <c r="L362" s="159"/>
      <c r="M362" s="159"/>
      <c r="N362" s="159"/>
      <c r="O362" s="159"/>
      <c r="P362" s="159"/>
    </row>
    <row r="363" spans="1:26" ht="20.25" customHeight="1">
      <c r="A363" s="468" t="s">
        <v>164</v>
      </c>
      <c r="B363" s="174"/>
      <c r="C363" s="167"/>
      <c r="D363" s="174"/>
      <c r="E363" s="173"/>
      <c r="F363" s="174"/>
      <c r="G363" s="175"/>
      <c r="H363" s="178" t="s">
        <v>46</v>
      </c>
      <c r="I363" s="264">
        <v>0</v>
      </c>
      <c r="J363" s="264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"),527.27)</f>
        <v>527.27</v>
      </c>
      <c r="K363" s="37">
        <f t="shared" si="187"/>
        <v>0</v>
      </c>
      <c r="L363" s="159"/>
      <c r="M363" s="159"/>
      <c r="N363" s="159"/>
      <c r="O363" s="159"/>
      <c r="P363" s="159"/>
    </row>
    <row r="364" spans="1:26" ht="20.25" customHeight="1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88">I365+I374</f>
        <v>4919</v>
      </c>
      <c r="J364" s="476">
        <f t="shared" ca="1" si="188"/>
        <v>254</v>
      </c>
      <c r="K364" s="477">
        <f t="shared" ca="1" si="187"/>
        <v>5.1636511486074408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20.25" customHeight="1">
      <c r="A365" s="480"/>
      <c r="B365" s="481"/>
      <c r="C365" s="482"/>
      <c r="D365" s="483" t="s">
        <v>166</v>
      </c>
      <c r="E365" s="484"/>
      <c r="F365" s="484"/>
      <c r="G365" s="485"/>
      <c r="H365" s="486" t="s">
        <v>35</v>
      </c>
      <c r="I365" s="487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"),1167)</f>
        <v>1167</v>
      </c>
      <c r="J365" s="488">
        <f ca="1">J372</f>
        <v>13</v>
      </c>
      <c r="K365" s="489">
        <f t="shared" ca="1" si="187"/>
        <v>1.1139674378748929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20.25" customHeight="1">
      <c r="A366" s="480"/>
      <c r="B366" s="481"/>
      <c r="C366" s="482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20.25" customHeight="1">
      <c r="A367" s="166"/>
      <c r="B367" s="167"/>
      <c r="C367" s="160" t="s">
        <v>16</v>
      </c>
      <c r="D367" s="168" t="s">
        <v>38</v>
      </c>
      <c r="E367" s="169"/>
      <c r="F367" s="169"/>
      <c r="G367" s="170"/>
      <c r="H367" s="171"/>
      <c r="I367" s="36"/>
      <c r="J367" s="36"/>
      <c r="K367" s="37"/>
      <c r="L367" s="159"/>
      <c r="M367" s="159"/>
      <c r="N367" s="159"/>
      <c r="O367" s="159"/>
      <c r="P367" s="159"/>
    </row>
    <row r="368" spans="1:26" ht="20.25" customHeight="1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"),230)</f>
        <v>230</v>
      </c>
      <c r="K368" s="37">
        <f t="shared" ref="K368:K374" si="189">IF(I368&gt;0,J368*100/I368,0)</f>
        <v>0</v>
      </c>
      <c r="L368" s="159"/>
      <c r="M368" s="159"/>
      <c r="N368" s="159"/>
      <c r="O368" s="159"/>
      <c r="P368" s="159"/>
    </row>
    <row r="369" spans="1:26" ht="20.25" customHeight="1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36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"),14670)</f>
        <v>14670</v>
      </c>
      <c r="J369" s="264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"),2303.13)</f>
        <v>2303.13</v>
      </c>
      <c r="K369" s="37">
        <f t="shared" ca="1" si="189"/>
        <v>15.69959100204499</v>
      </c>
      <c r="L369" s="159"/>
      <c r="M369" s="159"/>
      <c r="N369" s="159"/>
      <c r="O369" s="159"/>
      <c r="P369" s="159"/>
    </row>
    <row r="370" spans="1:26" ht="20.25" customHeight="1">
      <c r="A370" s="166"/>
      <c r="B370" s="174"/>
      <c r="C370" s="167"/>
      <c r="D370" s="174"/>
      <c r="E370" s="172" t="s">
        <v>162</v>
      </c>
      <c r="F370" s="174"/>
      <c r="G370" s="175"/>
      <c r="H370" s="178" t="s">
        <v>35</v>
      </c>
      <c r="I370" s="36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"),1167)</f>
        <v>1167</v>
      </c>
      <c r="J370" s="264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"),94)</f>
        <v>94</v>
      </c>
      <c r="K370" s="37">
        <f t="shared" ca="1" si="189"/>
        <v>8.0548414738646095</v>
      </c>
      <c r="L370" s="159"/>
      <c r="M370" s="159"/>
      <c r="N370" s="159"/>
      <c r="O370" s="159"/>
      <c r="P370" s="159"/>
    </row>
    <row r="371" spans="1:26" ht="20.25" customHeight="1">
      <c r="A371" s="166"/>
      <c r="B371" s="174"/>
      <c r="C371" s="167"/>
      <c r="D371" s="174"/>
      <c r="E371" s="174"/>
      <c r="F371" s="174"/>
      <c r="G371" s="175"/>
      <c r="H371" s="178" t="s">
        <v>46</v>
      </c>
      <c r="I371" s="264">
        <v>0</v>
      </c>
      <c r="J371" s="264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"),1755.13)</f>
        <v>1755.13</v>
      </c>
      <c r="K371" s="37">
        <f t="shared" si="189"/>
        <v>0</v>
      </c>
      <c r="L371" s="159"/>
      <c r="M371" s="159"/>
      <c r="N371" s="159"/>
      <c r="O371" s="159"/>
      <c r="P371" s="159"/>
    </row>
    <row r="372" spans="1:26" ht="20.25" customHeight="1">
      <c r="A372" s="166"/>
      <c r="B372" s="174"/>
      <c r="C372" s="167"/>
      <c r="D372" s="174"/>
      <c r="E372" s="172" t="s">
        <v>163</v>
      </c>
      <c r="F372" s="174"/>
      <c r="G372" s="175"/>
      <c r="H372" s="178" t="s">
        <v>35</v>
      </c>
      <c r="I372" s="36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"),1167)</f>
        <v>1167</v>
      </c>
      <c r="J372" s="264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"),13)</f>
        <v>13</v>
      </c>
      <c r="K372" s="37">
        <f t="shared" ca="1" si="189"/>
        <v>1.1139674378748929</v>
      </c>
      <c r="L372" s="159"/>
      <c r="M372" s="159"/>
      <c r="N372" s="159"/>
      <c r="O372" s="159"/>
      <c r="P372" s="159"/>
    </row>
    <row r="373" spans="1:26" ht="20.25" customHeight="1">
      <c r="A373" s="468" t="s">
        <v>164</v>
      </c>
      <c r="B373" s="174"/>
      <c r="C373" s="167"/>
      <c r="D373" s="174"/>
      <c r="E373" s="173"/>
      <c r="F373" s="174"/>
      <c r="G373" s="175"/>
      <c r="H373" s="178" t="s">
        <v>46</v>
      </c>
      <c r="I373" s="264">
        <v>0</v>
      </c>
      <c r="J373" s="264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"),206.49)</f>
        <v>206.49</v>
      </c>
      <c r="K373" s="37">
        <f t="shared" si="189"/>
        <v>0</v>
      </c>
      <c r="L373" s="159"/>
      <c r="M373" s="159"/>
      <c r="N373" s="159"/>
      <c r="O373" s="159"/>
      <c r="P373" s="159"/>
    </row>
    <row r="374" spans="1:26" ht="20.25" customHeight="1">
      <c r="A374" s="480"/>
      <c r="B374" s="481"/>
      <c r="C374" s="482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"),3752)</f>
        <v>3752</v>
      </c>
      <c r="J374" s="488">
        <f ca="1">J381</f>
        <v>241</v>
      </c>
      <c r="K374" s="489">
        <f t="shared" ca="1" si="189"/>
        <v>6.4232409381663116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20.25" customHeight="1">
      <c r="A375" s="480"/>
      <c r="B375" s="481"/>
      <c r="C375" s="482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20.25" customHeight="1">
      <c r="A376" s="166"/>
      <c r="B376" s="167"/>
      <c r="C376" s="160" t="s">
        <v>16</v>
      </c>
      <c r="D376" s="168" t="s">
        <v>38</v>
      </c>
      <c r="E376" s="169"/>
      <c r="F376" s="169"/>
      <c r="G376" s="170"/>
      <c r="H376" s="171"/>
      <c r="I376" s="36"/>
      <c r="J376" s="36"/>
      <c r="K376" s="37"/>
      <c r="L376" s="159"/>
      <c r="M376" s="159"/>
      <c r="N376" s="159"/>
      <c r="O376" s="159"/>
      <c r="P376" s="159"/>
    </row>
    <row r="377" spans="1:26" ht="20.25" customHeight="1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"),226)</f>
        <v>226</v>
      </c>
      <c r="K377" s="495">
        <f t="shared" ref="K377:K382" si="190">IF(I377&gt;0,J377*100/I377,0)</f>
        <v>0</v>
      </c>
      <c r="L377" s="159"/>
      <c r="M377" s="159"/>
      <c r="N377" s="159"/>
      <c r="O377" s="159"/>
      <c r="P377" s="159"/>
    </row>
    <row r="378" spans="1:26" ht="20.25" customHeight="1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36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"),21348)</f>
        <v>21348</v>
      </c>
      <c r="J378" s="264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"),2572.2)</f>
        <v>2572.1999999999998</v>
      </c>
      <c r="K378" s="495">
        <f t="shared" ca="1" si="190"/>
        <v>12.048903878583472</v>
      </c>
      <c r="L378" s="159"/>
      <c r="M378" s="159"/>
      <c r="N378" s="159"/>
      <c r="O378" s="159"/>
      <c r="P378" s="159"/>
    </row>
    <row r="379" spans="1:26" ht="20.25" customHeight="1">
      <c r="A379" s="166"/>
      <c r="B379" s="174"/>
      <c r="C379" s="167"/>
      <c r="D379" s="174"/>
      <c r="E379" s="172" t="s">
        <v>162</v>
      </c>
      <c r="F379" s="174"/>
      <c r="G379" s="175"/>
      <c r="H379" s="178" t="s">
        <v>35</v>
      </c>
      <c r="I379" s="36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"),3752)</f>
        <v>3752</v>
      </c>
      <c r="J379" s="264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"),407)</f>
        <v>407</v>
      </c>
      <c r="K379" s="495">
        <f t="shared" ca="1" si="190"/>
        <v>10.847547974413645</v>
      </c>
      <c r="L379" s="159"/>
      <c r="M379" s="159"/>
      <c r="N379" s="159"/>
      <c r="O379" s="159"/>
      <c r="P379" s="159"/>
    </row>
    <row r="380" spans="1:26" ht="20.25" customHeight="1">
      <c r="A380" s="166"/>
      <c r="B380" s="174"/>
      <c r="C380" s="167"/>
      <c r="D380" s="174"/>
      <c r="E380" s="174"/>
      <c r="F380" s="174"/>
      <c r="G380" s="175"/>
      <c r="H380" s="178" t="s">
        <v>46</v>
      </c>
      <c r="I380" s="264">
        <v>0</v>
      </c>
      <c r="J380" s="264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"),5297.01999999999)</f>
        <v>5297.0199999999904</v>
      </c>
      <c r="K380" s="495">
        <f t="shared" si="190"/>
        <v>0</v>
      </c>
      <c r="L380" s="159"/>
      <c r="M380" s="159"/>
      <c r="N380" s="159"/>
      <c r="O380" s="159"/>
      <c r="P380" s="159"/>
    </row>
    <row r="381" spans="1:26" ht="20.25" customHeight="1">
      <c r="A381" s="166"/>
      <c r="B381" s="174"/>
      <c r="C381" s="167"/>
      <c r="D381" s="174"/>
      <c r="E381" s="172" t="s">
        <v>163</v>
      </c>
      <c r="F381" s="174"/>
      <c r="G381" s="175"/>
      <c r="H381" s="178" t="s">
        <v>35</v>
      </c>
      <c r="I381" s="36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"),3752)</f>
        <v>3752</v>
      </c>
      <c r="J381" s="264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"),241)</f>
        <v>241</v>
      </c>
      <c r="K381" s="495">
        <f t="shared" ca="1" si="190"/>
        <v>6.4232409381663116</v>
      </c>
      <c r="L381" s="159"/>
      <c r="M381" s="159"/>
      <c r="N381" s="159"/>
      <c r="O381" s="159"/>
      <c r="P381" s="159"/>
    </row>
    <row r="382" spans="1:26" ht="20.25" customHeight="1">
      <c r="A382" s="468" t="s">
        <v>164</v>
      </c>
      <c r="B382" s="174"/>
      <c r="C382" s="167"/>
      <c r="D382" s="174"/>
      <c r="E382" s="173"/>
      <c r="F382" s="174"/>
      <c r="G382" s="175"/>
      <c r="H382" s="178" t="s">
        <v>46</v>
      </c>
      <c r="I382" s="264">
        <v>0</v>
      </c>
      <c r="J382" s="264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"),3296.75)</f>
        <v>3296.75</v>
      </c>
      <c r="K382" s="495">
        <f t="shared" si="190"/>
        <v>0</v>
      </c>
      <c r="L382" s="159"/>
      <c r="M382" s="159"/>
      <c r="N382" s="159"/>
      <c r="O382" s="159"/>
      <c r="P382" s="159"/>
    </row>
    <row r="383" spans="1:26" ht="20.25" customHeight="1">
      <c r="A383" s="250"/>
      <c r="B383" s="258"/>
      <c r="C383" s="251"/>
      <c r="D383" s="452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20.25" customHeight="1">
      <c r="A384" s="166"/>
      <c r="B384" s="167"/>
      <c r="C384" s="32" t="s">
        <v>16</v>
      </c>
      <c r="D384" s="168" t="s">
        <v>38</v>
      </c>
      <c r="E384" s="169"/>
      <c r="F384" s="169"/>
      <c r="G384" s="170"/>
      <c r="H384" s="171"/>
      <c r="I384" s="36"/>
      <c r="J384" s="36"/>
      <c r="K384" s="37"/>
      <c r="L384" s="159"/>
      <c r="M384" s="159"/>
      <c r="N384" s="159"/>
      <c r="O384" s="159"/>
      <c r="P384" s="159"/>
    </row>
    <row r="385" spans="1:26" ht="20.25" customHeight="1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"),302)</f>
        <v>302</v>
      </c>
      <c r="J385" s="498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"),2)</f>
        <v>2</v>
      </c>
      <c r="K385" s="499">
        <f ca="1">IF(I385&gt;0,J385*100/I385,0)</f>
        <v>0.66225165562913912</v>
      </c>
      <c r="L385" s="382"/>
      <c r="M385" s="382"/>
      <c r="N385" s="382"/>
      <c r="O385" s="382"/>
      <c r="P385" s="382"/>
    </row>
    <row r="386" spans="1:26" ht="20.25" hidden="1" customHeight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20.25" hidden="1" customHeight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20.25" hidden="1" customHeight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ca="1" si="191">I400</f>
        <v>0</v>
      </c>
      <c r="J388" s="519">
        <f t="shared" ca="1" si="191"/>
        <v>0</v>
      </c>
      <c r="K388" s="520">
        <f ca="1">IF(I388&gt;0,J388*100/I388,0)</f>
        <v>0</v>
      </c>
      <c r="L388" s="521"/>
      <c r="M388" s="521"/>
      <c r="N388" s="521"/>
      <c r="O388" s="521"/>
      <c r="P388" s="521"/>
    </row>
    <row r="389" spans="1:26" ht="20.25" hidden="1" customHeight="1">
      <c r="A389" s="143"/>
      <c r="B389" s="144"/>
      <c r="C389" s="145" t="s">
        <v>16</v>
      </c>
      <c r="D389" s="146" t="s">
        <v>17</v>
      </c>
      <c r="E389" s="144"/>
      <c r="F389" s="144"/>
      <c r="G389" s="147"/>
      <c r="H389" s="148" t="s">
        <v>12</v>
      </c>
      <c r="I389" s="149"/>
      <c r="J389" s="149"/>
      <c r="K389" s="150"/>
      <c r="L389" s="151">
        <f t="shared" ref="L389:N389" ca="1" si="192">L390+L391</f>
        <v>0</v>
      </c>
      <c r="M389" s="151">
        <f t="shared" ca="1" si="192"/>
        <v>0</v>
      </c>
      <c r="N389" s="151">
        <f t="shared" ca="1" si="192"/>
        <v>0</v>
      </c>
      <c r="O389" s="151">
        <f t="shared" ref="O389:O397" ca="1" si="193">IF(L389&gt;0,N389*100/L389,0)</f>
        <v>0</v>
      </c>
      <c r="P389" s="151">
        <f t="shared" ref="P389:P397" ca="1" si="194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0.25" hidden="1" customHeight="1">
      <c r="A390" s="152"/>
      <c r="B390" s="39"/>
      <c r="C390" s="39"/>
      <c r="D390" s="39"/>
      <c r="E390" s="40" t="s">
        <v>18</v>
      </c>
      <c r="F390" s="39"/>
      <c r="G390" s="153"/>
      <c r="H390" s="154" t="s">
        <v>12</v>
      </c>
      <c r="I390" s="43"/>
      <c r="J390" s="43"/>
      <c r="K390" s="44"/>
      <c r="L390" s="44">
        <f t="shared" ref="L390:N390" si="195">L393+L396</f>
        <v>0</v>
      </c>
      <c r="M390" s="44">
        <f t="shared" si="195"/>
        <v>0</v>
      </c>
      <c r="N390" s="44">
        <f t="shared" si="195"/>
        <v>0</v>
      </c>
      <c r="O390" s="44">
        <f t="shared" si="193"/>
        <v>0</v>
      </c>
      <c r="P390" s="44">
        <f t="shared" si="194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20.25" hidden="1" customHeight="1">
      <c r="A391" s="152"/>
      <c r="B391" s="39"/>
      <c r="C391" s="39"/>
      <c r="D391" s="39"/>
      <c r="E391" s="40" t="s">
        <v>19</v>
      </c>
      <c r="F391" s="39"/>
      <c r="G391" s="153"/>
      <c r="H391" s="154" t="s">
        <v>12</v>
      </c>
      <c r="I391" s="43"/>
      <c r="J391" s="43"/>
      <c r="K391" s="44"/>
      <c r="L391" s="44">
        <f t="shared" ref="L391:N391" ca="1" si="196">L394+L397</f>
        <v>0</v>
      </c>
      <c r="M391" s="44">
        <f t="shared" ca="1" si="196"/>
        <v>0</v>
      </c>
      <c r="N391" s="44">
        <f t="shared" ca="1" si="196"/>
        <v>0</v>
      </c>
      <c r="O391" s="44">
        <f t="shared" ca="1" si="193"/>
        <v>0</v>
      </c>
      <c r="P391" s="44">
        <f t="shared" ca="1" si="194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20.25" hidden="1" customHeight="1">
      <c r="A392" s="155"/>
      <c r="B392" s="32"/>
      <c r="C392" s="156"/>
      <c r="D392" s="33" t="s">
        <v>20</v>
      </c>
      <c r="E392" s="32"/>
      <c r="F392" s="32"/>
      <c r="G392" s="34"/>
      <c r="H392" s="157" t="s">
        <v>12</v>
      </c>
      <c r="I392" s="158"/>
      <c r="J392" s="158"/>
      <c r="K392" s="159"/>
      <c r="L392" s="37">
        <f t="shared" ref="L392:N392" ca="1" si="197">L393+L394</f>
        <v>0</v>
      </c>
      <c r="M392" s="37">
        <f t="shared" ca="1" si="197"/>
        <v>0</v>
      </c>
      <c r="N392" s="37">
        <f t="shared" ca="1" si="197"/>
        <v>0</v>
      </c>
      <c r="O392" s="37">
        <f t="shared" ca="1" si="193"/>
        <v>0</v>
      </c>
      <c r="P392" s="37">
        <f t="shared" ca="1" si="194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0.25" hidden="1" customHeight="1">
      <c r="A393" s="152"/>
      <c r="B393" s="39"/>
      <c r="C393" s="160"/>
      <c r="D393" s="39"/>
      <c r="E393" s="40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44">
        <f t="shared" si="193"/>
        <v>0</v>
      </c>
      <c r="P393" s="44">
        <f t="shared" si="194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20.25" hidden="1" customHeight="1">
      <c r="A394" s="152"/>
      <c r="B394" s="39"/>
      <c r="C394" s="160"/>
      <c r="D394" s="39"/>
      <c r="E394" s="40" t="s">
        <v>37</v>
      </c>
      <c r="F394" s="39"/>
      <c r="G394" s="153"/>
      <c r="H394" s="161" t="s">
        <v>12</v>
      </c>
      <c r="I394" s="162"/>
      <c r="J394" s="162"/>
      <c r="K394" s="163"/>
      <c r="L394" s="44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4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4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4">
        <f t="shared" ca="1" si="193"/>
        <v>0</v>
      </c>
      <c r="P394" s="44">
        <f t="shared" ca="1" si="194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20.25" hidden="1" customHeight="1">
      <c r="A395" s="155"/>
      <c r="B395" s="32"/>
      <c r="C395" s="156"/>
      <c r="D395" s="33" t="s">
        <v>21</v>
      </c>
      <c r="E395" s="32"/>
      <c r="F395" s="32"/>
      <c r="G395" s="34"/>
      <c r="H395" s="164" t="s">
        <v>12</v>
      </c>
      <c r="I395" s="158"/>
      <c r="J395" s="158"/>
      <c r="K395" s="159"/>
      <c r="L395" s="37">
        <f t="shared" ref="L395:N395" ca="1" si="198">L396+L397</f>
        <v>0</v>
      </c>
      <c r="M395" s="37">
        <f t="shared" ca="1" si="198"/>
        <v>0</v>
      </c>
      <c r="N395" s="37">
        <f t="shared" ca="1" si="198"/>
        <v>0</v>
      </c>
      <c r="O395" s="37">
        <f t="shared" ca="1" si="193"/>
        <v>0</v>
      </c>
      <c r="P395" s="37">
        <f t="shared" ca="1" si="194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0.25" hidden="1" customHeight="1">
      <c r="A396" s="152"/>
      <c r="B396" s="39"/>
      <c r="C396" s="160"/>
      <c r="D396" s="39"/>
      <c r="E396" s="40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44">
        <f t="shared" si="193"/>
        <v>0</v>
      </c>
      <c r="P396" s="44">
        <f t="shared" si="194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20.25" hidden="1" customHeight="1">
      <c r="A397" s="152"/>
      <c r="B397" s="39"/>
      <c r="C397" s="160"/>
      <c r="D397" s="39"/>
      <c r="E397" s="40" t="s">
        <v>19</v>
      </c>
      <c r="F397" s="39"/>
      <c r="G397" s="153"/>
      <c r="H397" s="165" t="s">
        <v>12</v>
      </c>
      <c r="I397" s="162"/>
      <c r="J397" s="162"/>
      <c r="K397" s="163"/>
      <c r="L397" s="44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4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4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4">
        <f t="shared" ca="1" si="193"/>
        <v>0</v>
      </c>
      <c r="P397" s="44">
        <f t="shared" ca="1" si="194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20.25" hidden="1" customHeight="1">
      <c r="A398" s="166"/>
      <c r="B398" s="167"/>
      <c r="C398" s="160" t="s">
        <v>16</v>
      </c>
      <c r="D398" s="168" t="s">
        <v>38</v>
      </c>
      <c r="E398" s="169"/>
      <c r="F398" s="169"/>
      <c r="G398" s="170"/>
      <c r="H398" s="171"/>
      <c r="I398" s="158"/>
      <c r="J398" s="36"/>
      <c r="K398" s="37"/>
      <c r="L398" s="37"/>
      <c r="M398" s="37"/>
      <c r="N398" s="37"/>
      <c r="O398" s="159"/>
      <c r="P398" s="159"/>
    </row>
    <row r="399" spans="1:26" ht="20.25" hidden="1" customHeight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79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7">
        <f t="shared" ref="K399:K401" ca="1" si="199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0.25" hidden="1" customHeight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79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7">
        <f t="shared" ca="1" si="199"/>
        <v>0</v>
      </c>
      <c r="L400" s="37"/>
      <c r="M400" s="37"/>
      <c r="N400" s="37"/>
      <c r="O400" s="37"/>
      <c r="P400" s="37"/>
    </row>
    <row r="401" spans="1:26" ht="20.25" hidden="1" customHeight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ca="1" si="200">I412</f>
        <v>0</v>
      </c>
      <c r="J401" s="519">
        <f t="shared" ca="1" si="200"/>
        <v>0</v>
      </c>
      <c r="K401" s="520">
        <f t="shared" ca="1" si="199"/>
        <v>0</v>
      </c>
      <c r="L401" s="521"/>
      <c r="M401" s="521"/>
      <c r="N401" s="521"/>
      <c r="O401" s="521"/>
      <c r="P401" s="521"/>
    </row>
    <row r="402" spans="1:26" ht="20.25" hidden="1" customHeight="1">
      <c r="A402" s="143"/>
      <c r="B402" s="144"/>
      <c r="C402" s="145" t="s">
        <v>16</v>
      </c>
      <c r="D402" s="146" t="s">
        <v>17</v>
      </c>
      <c r="E402" s="144"/>
      <c r="F402" s="144"/>
      <c r="G402" s="147"/>
      <c r="H402" s="148" t="s">
        <v>12</v>
      </c>
      <c r="I402" s="149"/>
      <c r="J402" s="149"/>
      <c r="K402" s="150"/>
      <c r="L402" s="151">
        <f t="shared" ref="L402:N402" ca="1" si="201">L403+L404</f>
        <v>0</v>
      </c>
      <c r="M402" s="151">
        <f t="shared" ca="1" si="201"/>
        <v>0</v>
      </c>
      <c r="N402" s="151">
        <f t="shared" ca="1" si="201"/>
        <v>0</v>
      </c>
      <c r="O402" s="151">
        <f t="shared" ref="O402:O410" ca="1" si="202">IF(L402&gt;0,N402*100/L402,0)</f>
        <v>0</v>
      </c>
      <c r="P402" s="151">
        <f t="shared" ref="P402:P410" ca="1" si="203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0.25" hidden="1" customHeight="1">
      <c r="A403" s="152"/>
      <c r="B403" s="39"/>
      <c r="C403" s="39"/>
      <c r="D403" s="39"/>
      <c r="E403" s="40" t="s">
        <v>18</v>
      </c>
      <c r="F403" s="39"/>
      <c r="G403" s="153"/>
      <c r="H403" s="154" t="s">
        <v>12</v>
      </c>
      <c r="I403" s="43"/>
      <c r="J403" s="43"/>
      <c r="K403" s="44"/>
      <c r="L403" s="44">
        <f t="shared" ref="L403:N403" si="204">L406+L409</f>
        <v>0</v>
      </c>
      <c r="M403" s="44">
        <f t="shared" si="204"/>
        <v>0</v>
      </c>
      <c r="N403" s="44">
        <f t="shared" si="204"/>
        <v>0</v>
      </c>
      <c r="O403" s="44">
        <f t="shared" si="202"/>
        <v>0</v>
      </c>
      <c r="P403" s="44">
        <f t="shared" si="203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20.25" hidden="1" customHeight="1">
      <c r="A404" s="152"/>
      <c r="B404" s="39"/>
      <c r="C404" s="39"/>
      <c r="D404" s="39"/>
      <c r="E404" s="40" t="s">
        <v>19</v>
      </c>
      <c r="F404" s="39"/>
      <c r="G404" s="153"/>
      <c r="H404" s="154" t="s">
        <v>12</v>
      </c>
      <c r="I404" s="43"/>
      <c r="J404" s="43"/>
      <c r="K404" s="44"/>
      <c r="L404" s="44">
        <f t="shared" ref="L404:N404" ca="1" si="205">L407+L410</f>
        <v>0</v>
      </c>
      <c r="M404" s="44">
        <f t="shared" ca="1" si="205"/>
        <v>0</v>
      </c>
      <c r="N404" s="44">
        <f t="shared" ca="1" si="205"/>
        <v>0</v>
      </c>
      <c r="O404" s="44">
        <f t="shared" ca="1" si="202"/>
        <v>0</v>
      </c>
      <c r="P404" s="44">
        <f t="shared" ca="1" si="203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20.25" hidden="1" customHeight="1">
      <c r="A405" s="155"/>
      <c r="B405" s="32"/>
      <c r="C405" s="156"/>
      <c r="D405" s="33" t="s">
        <v>20</v>
      </c>
      <c r="E405" s="32"/>
      <c r="F405" s="32"/>
      <c r="G405" s="34"/>
      <c r="H405" s="157" t="s">
        <v>12</v>
      </c>
      <c r="I405" s="158"/>
      <c r="J405" s="158"/>
      <c r="K405" s="159"/>
      <c r="L405" s="37">
        <f t="shared" ref="L405:N405" ca="1" si="206">L406+L407</f>
        <v>0</v>
      </c>
      <c r="M405" s="37">
        <f t="shared" ca="1" si="206"/>
        <v>0</v>
      </c>
      <c r="N405" s="37">
        <f t="shared" ca="1" si="206"/>
        <v>0</v>
      </c>
      <c r="O405" s="37">
        <f t="shared" ca="1" si="202"/>
        <v>0</v>
      </c>
      <c r="P405" s="37">
        <f t="shared" ca="1" si="203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0.25" hidden="1" customHeight="1">
      <c r="A406" s="152"/>
      <c r="B406" s="39"/>
      <c r="C406" s="160"/>
      <c r="D406" s="39"/>
      <c r="E406" s="40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44">
        <f t="shared" si="202"/>
        <v>0</v>
      </c>
      <c r="P406" s="44">
        <f t="shared" si="203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20.25" hidden="1" customHeight="1">
      <c r="A407" s="152"/>
      <c r="B407" s="39"/>
      <c r="C407" s="160"/>
      <c r="D407" s="39"/>
      <c r="E407" s="40" t="s">
        <v>37</v>
      </c>
      <c r="F407" s="39"/>
      <c r="G407" s="153"/>
      <c r="H407" s="161" t="s">
        <v>12</v>
      </c>
      <c r="I407" s="162"/>
      <c r="J407" s="162"/>
      <c r="K407" s="163"/>
      <c r="L407" s="44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4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4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4">
        <f t="shared" ca="1" si="202"/>
        <v>0</v>
      </c>
      <c r="P407" s="44">
        <f t="shared" ca="1" si="203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20.25" hidden="1" customHeight="1">
      <c r="A408" s="155"/>
      <c r="B408" s="32"/>
      <c r="C408" s="156"/>
      <c r="D408" s="33" t="s">
        <v>21</v>
      </c>
      <c r="E408" s="32"/>
      <c r="F408" s="32"/>
      <c r="G408" s="34"/>
      <c r="H408" s="164" t="s">
        <v>12</v>
      </c>
      <c r="I408" s="158"/>
      <c r="J408" s="158"/>
      <c r="K408" s="159"/>
      <c r="L408" s="37">
        <f t="shared" ref="L408:N408" ca="1" si="207">L409+L410</f>
        <v>0</v>
      </c>
      <c r="M408" s="37">
        <f t="shared" ca="1" si="207"/>
        <v>0</v>
      </c>
      <c r="N408" s="37">
        <f t="shared" ca="1" si="207"/>
        <v>0</v>
      </c>
      <c r="O408" s="37">
        <f t="shared" ca="1" si="202"/>
        <v>0</v>
      </c>
      <c r="P408" s="37">
        <f t="shared" ca="1" si="203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0.25" hidden="1" customHeight="1">
      <c r="A409" s="152"/>
      <c r="B409" s="39"/>
      <c r="C409" s="160"/>
      <c r="D409" s="39"/>
      <c r="E409" s="40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44">
        <f t="shared" si="202"/>
        <v>0</v>
      </c>
      <c r="P409" s="44">
        <f t="shared" si="203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20.25" hidden="1" customHeight="1">
      <c r="A410" s="152"/>
      <c r="B410" s="39"/>
      <c r="C410" s="160"/>
      <c r="D410" s="39"/>
      <c r="E410" s="40" t="s">
        <v>19</v>
      </c>
      <c r="F410" s="39"/>
      <c r="G410" s="153"/>
      <c r="H410" s="165" t="s">
        <v>12</v>
      </c>
      <c r="I410" s="162"/>
      <c r="J410" s="162"/>
      <c r="K410" s="163"/>
      <c r="L410" s="44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4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4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4">
        <f t="shared" ca="1" si="202"/>
        <v>0</v>
      </c>
      <c r="P410" s="44">
        <f t="shared" ca="1" si="203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20.25" hidden="1" customHeight="1">
      <c r="A411" s="166"/>
      <c r="B411" s="167"/>
      <c r="C411" s="160" t="s">
        <v>16</v>
      </c>
      <c r="D411" s="527" t="s">
        <v>38</v>
      </c>
      <c r="E411" s="528"/>
      <c r="F411" s="528"/>
      <c r="G411" s="529"/>
      <c r="H411" s="171"/>
      <c r="I411" s="36"/>
      <c r="J411" s="36"/>
      <c r="K411" s="37"/>
      <c r="L411" s="159"/>
      <c r="M411" s="159"/>
      <c r="N411" s="159"/>
      <c r="O411" s="159"/>
      <c r="P411" s="159"/>
    </row>
    <row r="412" spans="1:26" ht="20.25" hidden="1" customHeight="1">
      <c r="A412" s="166"/>
      <c r="B412" s="174"/>
      <c r="C412" s="174"/>
      <c r="D412" s="177" t="s">
        <v>177</v>
      </c>
      <c r="E412" s="174"/>
      <c r="F412" s="174"/>
      <c r="G412" s="175"/>
      <c r="H412" s="530" t="s">
        <v>69</v>
      </c>
      <c r="I412" s="264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79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7">
        <f t="shared" ref="K412:K413" ca="1" si="208">IF(I412&gt;0,J412*100/I412,0)</f>
        <v>0</v>
      </c>
      <c r="L412" s="159"/>
      <c r="M412" s="159"/>
      <c r="N412" s="159"/>
      <c r="O412" s="159"/>
      <c r="P412" s="159"/>
    </row>
    <row r="413" spans="1:26" ht="20.25" hidden="1" customHeigh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37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38">
        <f t="shared" ca="1" si="208"/>
        <v>0</v>
      </c>
      <c r="L413" s="539"/>
      <c r="M413" s="539"/>
      <c r="N413" s="539"/>
      <c r="O413" s="539"/>
      <c r="P413" s="539"/>
    </row>
    <row r="414" spans="1:26" ht="20.25" customHeight="1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ca="1">L419+L444+M467+L502+L523+L544+L629+L655+L685+L737+L754+L770+L786+L805</f>
        <v>15087221</v>
      </c>
      <c r="M414" s="546">
        <f t="shared" ref="M414:N414" si="209">M419+M444+M467+M502+M523+M544+M629+M655+M685+M737+M754+M770+M786+M805</f>
        <v>0</v>
      </c>
      <c r="N414" s="546">
        <f t="shared" ca="1" si="209"/>
        <v>453524.94999999995</v>
      </c>
      <c r="O414" s="546">
        <f ca="1">IF(L414&gt;0,N414*100/L414,0)</f>
        <v>3.0060204593012849</v>
      </c>
      <c r="P414" s="546">
        <f>IF(M414&gt;0,N414*100/M414,0)</f>
        <v>0</v>
      </c>
    </row>
    <row r="415" spans="1:26" ht="20.25" customHeight="1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20.25" customHeight="1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7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7" ca="1" si="210">I433</f>
        <v>585</v>
      </c>
      <c r="J417" s="562">
        <f t="shared" ca="1" si="210"/>
        <v>15</v>
      </c>
      <c r="K417" s="563">
        <f t="shared" ref="K417:K418" ca="1" si="211">IF(I417&gt;0,J417*100/I417,0)</f>
        <v>2.5641025641025643</v>
      </c>
      <c r="L417" s="564"/>
      <c r="M417" s="564"/>
      <c r="N417" s="564"/>
      <c r="O417" s="564"/>
      <c r="P417" s="564"/>
    </row>
    <row r="418" spans="1:26" ht="20.25" customHeight="1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ref="I418:J418" ca="1" si="212">I434</f>
        <v>27</v>
      </c>
      <c r="J418" s="562">
        <f t="shared" ca="1" si="212"/>
        <v>2</v>
      </c>
      <c r="K418" s="563">
        <f t="shared" ca="1" si="211"/>
        <v>7.4074074074074074</v>
      </c>
      <c r="L418" s="564"/>
      <c r="M418" s="564"/>
      <c r="N418" s="564"/>
      <c r="O418" s="564"/>
      <c r="P418" s="564"/>
    </row>
    <row r="419" spans="1:26" ht="20.25" customHeight="1">
      <c r="A419" s="143"/>
      <c r="B419" s="144"/>
      <c r="C419" s="144" t="s">
        <v>16</v>
      </c>
      <c r="D419" s="853" t="s">
        <v>17</v>
      </c>
      <c r="E419" s="848"/>
      <c r="F419" s="848"/>
      <c r="G419" s="147"/>
      <c r="H419" s="269" t="s">
        <v>12</v>
      </c>
      <c r="I419" s="149"/>
      <c r="J419" s="149"/>
      <c r="K419" s="150"/>
      <c r="L419" s="151">
        <f t="shared" ref="L419:N419" ca="1" si="213">L420+L421</f>
        <v>2120670</v>
      </c>
      <c r="M419" s="151">
        <f t="shared" si="213"/>
        <v>0</v>
      </c>
      <c r="N419" s="151">
        <f t="shared" ca="1" si="213"/>
        <v>68250</v>
      </c>
      <c r="O419" s="151">
        <f t="shared" ref="O419:O424" ca="1" si="214">IF(L419&gt;0,N419*100/L419,0)</f>
        <v>3.2183225112818117</v>
      </c>
      <c r="P419" s="151">
        <f t="shared" ref="P419:P424" si="21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0.25" hidden="1" customHeight="1">
      <c r="A420" s="152"/>
      <c r="B420" s="39"/>
      <c r="C420" s="39"/>
      <c r="D420" s="363"/>
      <c r="E420" s="40" t="s">
        <v>184</v>
      </c>
      <c r="F420" s="39"/>
      <c r="G420" s="153"/>
      <c r="H420" s="161" t="s">
        <v>12</v>
      </c>
      <c r="I420" s="43"/>
      <c r="J420" s="43"/>
      <c r="K420" s="44"/>
      <c r="L420" s="44">
        <f t="shared" ref="L420:N420" si="216">L423+L430</f>
        <v>0</v>
      </c>
      <c r="M420" s="44">
        <f t="shared" si="216"/>
        <v>0</v>
      </c>
      <c r="N420" s="44">
        <f t="shared" si="216"/>
        <v>0</v>
      </c>
      <c r="O420" s="44">
        <f t="shared" si="214"/>
        <v>0</v>
      </c>
      <c r="P420" s="44">
        <f t="shared" si="21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20.25" hidden="1" customHeight="1">
      <c r="A421" s="152"/>
      <c r="B421" s="39"/>
      <c r="C421" s="39"/>
      <c r="D421" s="363"/>
      <c r="E421" s="40" t="s">
        <v>185</v>
      </c>
      <c r="F421" s="39"/>
      <c r="G421" s="153"/>
      <c r="H421" s="161" t="s">
        <v>12</v>
      </c>
      <c r="I421" s="43"/>
      <c r="J421" s="43"/>
      <c r="K421" s="44"/>
      <c r="L421" s="44">
        <f t="shared" ref="L421:N421" ca="1" si="217">L424+L431</f>
        <v>2120670</v>
      </c>
      <c r="M421" s="44">
        <f t="shared" si="217"/>
        <v>0</v>
      </c>
      <c r="N421" s="44">
        <f t="shared" ca="1" si="217"/>
        <v>68250</v>
      </c>
      <c r="O421" s="44">
        <f t="shared" ca="1" si="214"/>
        <v>3.2183225112818117</v>
      </c>
      <c r="P421" s="44">
        <f t="shared" si="21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20.25" customHeight="1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58"/>
      <c r="J422" s="158"/>
      <c r="K422" s="159"/>
      <c r="L422" s="37">
        <f t="shared" ref="L422:N422" ca="1" si="218">L423+L424</f>
        <v>2120670</v>
      </c>
      <c r="M422" s="37">
        <f t="shared" si="218"/>
        <v>0</v>
      </c>
      <c r="N422" s="37">
        <f t="shared" ca="1" si="218"/>
        <v>68250</v>
      </c>
      <c r="O422" s="37">
        <f t="shared" ca="1" si="214"/>
        <v>3.2183225112818117</v>
      </c>
      <c r="P422" s="37">
        <f t="shared" si="21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0.25" hidden="1" customHeight="1">
      <c r="A423" s="152"/>
      <c r="B423" s="39"/>
      <c r="C423" s="39"/>
      <c r="D423" s="363"/>
      <c r="E423" s="40" t="s">
        <v>184</v>
      </c>
      <c r="F423" s="39"/>
      <c r="G423" s="153"/>
      <c r="H423" s="161" t="s">
        <v>12</v>
      </c>
      <c r="I423" s="43"/>
      <c r="J423" s="43"/>
      <c r="K423" s="44"/>
      <c r="L423" s="90">
        <v>0</v>
      </c>
      <c r="M423" s="90">
        <v>0</v>
      </c>
      <c r="N423" s="90">
        <v>0</v>
      </c>
      <c r="O423" s="44">
        <f t="shared" si="214"/>
        <v>0</v>
      </c>
      <c r="P423" s="44">
        <f t="shared" si="21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20.25" hidden="1" customHeight="1">
      <c r="A424" s="152"/>
      <c r="B424" s="39"/>
      <c r="C424" s="39"/>
      <c r="D424" s="363"/>
      <c r="E424" s="40" t="s">
        <v>185</v>
      </c>
      <c r="F424" s="39"/>
      <c r="G424" s="153"/>
      <c r="H424" s="161" t="s">
        <v>12</v>
      </c>
      <c r="I424" s="43"/>
      <c r="J424" s="43"/>
      <c r="K424" s="44"/>
      <c r="L424" s="44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"),2120670)</f>
        <v>2120670</v>
      </c>
      <c r="M424" s="90">
        <v>0</v>
      </c>
      <c r="N424" s="44">
        <f ca="1">N425+N426+N427+N428</f>
        <v>68250</v>
      </c>
      <c r="O424" s="44">
        <f t="shared" ca="1" si="214"/>
        <v>3.2183225112818117</v>
      </c>
      <c r="P424" s="44">
        <f t="shared" si="21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20.25" customHeight="1">
      <c r="A425" s="566"/>
      <c r="B425" s="567"/>
      <c r="C425" s="568"/>
      <c r="D425" s="568"/>
      <c r="E425" s="568"/>
      <c r="F425" s="569" t="s">
        <v>186</v>
      </c>
      <c r="G425" s="185"/>
      <c r="H425" s="157" t="s">
        <v>12</v>
      </c>
      <c r="I425" s="36"/>
      <c r="J425" s="36"/>
      <c r="K425" s="37"/>
      <c r="L425" s="37"/>
      <c r="M425" s="37"/>
      <c r="N425" s="278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"),36300)</f>
        <v>36300</v>
      </c>
      <c r="O425" s="37"/>
      <c r="P425" s="37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20.25" customHeight="1">
      <c r="A426" s="566"/>
      <c r="B426" s="567"/>
      <c r="C426" s="568"/>
      <c r="D426" s="568"/>
      <c r="E426" s="568"/>
      <c r="F426" s="569" t="s">
        <v>187</v>
      </c>
      <c r="G426" s="185"/>
      <c r="H426" s="157" t="s">
        <v>12</v>
      </c>
      <c r="I426" s="36"/>
      <c r="J426" s="36"/>
      <c r="K426" s="37"/>
      <c r="L426" s="37"/>
      <c r="M426" s="37"/>
      <c r="N426" s="278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"),0)</f>
        <v>0</v>
      </c>
      <c r="O426" s="37"/>
      <c r="P426" s="37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20.25" customHeight="1">
      <c r="A427" s="566"/>
      <c r="B427" s="567"/>
      <c r="C427" s="568"/>
      <c r="D427" s="568"/>
      <c r="E427" s="568"/>
      <c r="F427" s="569" t="s">
        <v>188</v>
      </c>
      <c r="G427" s="185"/>
      <c r="H427" s="157" t="s">
        <v>12</v>
      </c>
      <c r="I427" s="36"/>
      <c r="J427" s="36"/>
      <c r="K427" s="37"/>
      <c r="L427" s="37"/>
      <c r="M427" s="37"/>
      <c r="N427" s="278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7"/>
      <c r="P427" s="37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20.25" customHeight="1">
      <c r="A428" s="279"/>
      <c r="B428" s="275"/>
      <c r="C428" s="32"/>
      <c r="D428" s="32"/>
      <c r="E428" s="32"/>
      <c r="F428" s="207" t="s">
        <v>189</v>
      </c>
      <c r="G428" s="209"/>
      <c r="H428" s="157" t="s">
        <v>12</v>
      </c>
      <c r="I428" s="36"/>
      <c r="J428" s="36"/>
      <c r="K428" s="37"/>
      <c r="L428" s="37"/>
      <c r="M428" s="37"/>
      <c r="N428" s="278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"),31950)</f>
        <v>31950</v>
      </c>
      <c r="O428" s="37"/>
      <c r="P428" s="37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0.25" customHeight="1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58"/>
      <c r="J429" s="158"/>
      <c r="K429" s="159"/>
      <c r="L429" s="37">
        <f t="shared" ref="L429:N429" ca="1" si="219">L430+L431</f>
        <v>0</v>
      </c>
      <c r="M429" s="37">
        <f t="shared" si="219"/>
        <v>0</v>
      </c>
      <c r="N429" s="37">
        <f t="shared" si="219"/>
        <v>0</v>
      </c>
      <c r="O429" s="37">
        <f t="shared" ref="O429:O431" ca="1" si="220">IF(L429&gt;0,N429*100/L429,0)</f>
        <v>0</v>
      </c>
      <c r="P429" s="37">
        <f t="shared" ref="P429:P431" si="221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0.25" hidden="1" customHeight="1">
      <c r="A430" s="152"/>
      <c r="B430" s="352"/>
      <c r="C430" s="39"/>
      <c r="D430" s="39"/>
      <c r="E430" s="40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44">
        <f t="shared" si="220"/>
        <v>0</v>
      </c>
      <c r="P430" s="44">
        <f t="shared" si="221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20.25" hidden="1" customHeight="1">
      <c r="A431" s="152"/>
      <c r="B431" s="352"/>
      <c r="C431" s="39"/>
      <c r="D431" s="39"/>
      <c r="E431" s="40" t="s">
        <v>19</v>
      </c>
      <c r="F431" s="39"/>
      <c r="G431" s="41"/>
      <c r="H431" s="165" t="s">
        <v>12</v>
      </c>
      <c r="I431" s="162"/>
      <c r="J431" s="162"/>
      <c r="K431" s="163"/>
      <c r="L431" s="44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0">
        <v>0</v>
      </c>
      <c r="N431" s="90">
        <v>0</v>
      </c>
      <c r="O431" s="44">
        <f t="shared" ca="1" si="220"/>
        <v>0</v>
      </c>
      <c r="P431" s="44">
        <f t="shared" si="221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20.25" customHeight="1">
      <c r="A432" s="412"/>
      <c r="B432" s="413"/>
      <c r="C432" s="144" t="s">
        <v>16</v>
      </c>
      <c r="D432" s="571" t="s">
        <v>38</v>
      </c>
      <c r="E432" s="572"/>
      <c r="F432" s="572"/>
      <c r="G432" s="573"/>
      <c r="H432" s="574"/>
      <c r="I432" s="149"/>
      <c r="J432" s="149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0.25" customHeight="1">
      <c r="A433" s="166"/>
      <c r="B433" s="167"/>
      <c r="C433" s="167"/>
      <c r="D433" s="182" t="s">
        <v>190</v>
      </c>
      <c r="E433" s="174"/>
      <c r="F433" s="174"/>
      <c r="G433" s="175"/>
      <c r="H433" s="192" t="s">
        <v>35</v>
      </c>
      <c r="I433" s="190">
        <f ca="1">I435</f>
        <v>585</v>
      </c>
      <c r="J433" s="190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"),15)</f>
        <v>15</v>
      </c>
      <c r="K433" s="191">
        <f t="shared" ref="K433:K435" ca="1" si="222">IF(I433&gt;0,J433*100/I433,0)</f>
        <v>2.5641025641025643</v>
      </c>
      <c r="L433" s="37"/>
      <c r="M433" s="37"/>
      <c r="N433" s="37"/>
      <c r="O433" s="37"/>
      <c r="P433" s="37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0.25" customHeight="1">
      <c r="A434" s="166"/>
      <c r="B434" s="167"/>
      <c r="C434" s="167"/>
      <c r="D434" s="182" t="s">
        <v>191</v>
      </c>
      <c r="E434" s="174"/>
      <c r="F434" s="174"/>
      <c r="G434" s="175"/>
      <c r="H434" s="192" t="s">
        <v>49</v>
      </c>
      <c r="I434" s="190">
        <f t="shared" ref="I434:J434" ca="1" si="223">I438+I440</f>
        <v>27</v>
      </c>
      <c r="J434" s="190">
        <f t="shared" ca="1" si="223"/>
        <v>2</v>
      </c>
      <c r="K434" s="191">
        <f t="shared" ca="1" si="222"/>
        <v>7.4074074074074074</v>
      </c>
      <c r="L434" s="37"/>
      <c r="M434" s="37"/>
      <c r="N434" s="37"/>
      <c r="O434" s="37"/>
      <c r="P434" s="37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0.25" customHeight="1">
      <c r="A435" s="166"/>
      <c r="B435" s="167"/>
      <c r="C435" s="167"/>
      <c r="D435" s="177" t="s">
        <v>192</v>
      </c>
      <c r="E435" s="174"/>
      <c r="F435" s="174"/>
      <c r="G435" s="175"/>
      <c r="H435" s="35" t="s">
        <v>35</v>
      </c>
      <c r="I435" s="575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6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"),75)</f>
        <v>75</v>
      </c>
      <c r="K435" s="495">
        <f t="shared" ca="1" si="222"/>
        <v>12.820512820512821</v>
      </c>
      <c r="L435" s="37"/>
      <c r="M435" s="37"/>
      <c r="N435" s="37"/>
      <c r="O435" s="37"/>
      <c r="P435" s="37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0.25" customHeight="1">
      <c r="A436" s="166"/>
      <c r="B436" s="167"/>
      <c r="C436" s="167"/>
      <c r="D436" s="177" t="s">
        <v>193</v>
      </c>
      <c r="E436" s="174"/>
      <c r="F436" s="174"/>
      <c r="G436" s="175"/>
      <c r="H436" s="35"/>
      <c r="I436" s="36"/>
      <c r="J436" s="36"/>
      <c r="K436" s="37"/>
      <c r="L436" s="37"/>
      <c r="M436" s="37"/>
      <c r="N436" s="37"/>
      <c r="O436" s="37"/>
      <c r="P436" s="37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0.25" customHeight="1">
      <c r="A437" s="166"/>
      <c r="B437" s="167"/>
      <c r="C437" s="167"/>
      <c r="D437" s="177" t="s">
        <v>194</v>
      </c>
      <c r="E437" s="174"/>
      <c r="F437" s="174"/>
      <c r="G437" s="175"/>
      <c r="H437" s="35" t="s">
        <v>35</v>
      </c>
      <c r="I437" s="575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6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"),40)</f>
        <v>40</v>
      </c>
      <c r="K437" s="495">
        <f t="shared" ref="K437:K443" ca="1" si="224">IF(I437&gt;0,J437*100/I437,0)</f>
        <v>19.047619047619047</v>
      </c>
      <c r="L437" s="37"/>
      <c r="M437" s="37"/>
      <c r="N437" s="37"/>
      <c r="O437" s="37"/>
      <c r="P437" s="37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0.25" customHeight="1">
      <c r="A438" s="166"/>
      <c r="B438" s="167"/>
      <c r="C438" s="167"/>
      <c r="D438" s="177" t="s">
        <v>195</v>
      </c>
      <c r="E438" s="174"/>
      <c r="F438" s="174"/>
      <c r="G438" s="175"/>
      <c r="H438" s="35" t="s">
        <v>49</v>
      </c>
      <c r="I438" s="36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79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"),1)</f>
        <v>1</v>
      </c>
      <c r="K438" s="37">
        <f t="shared" ca="1" si="224"/>
        <v>20</v>
      </c>
      <c r="L438" s="37"/>
      <c r="M438" s="37"/>
      <c r="N438" s="37"/>
      <c r="O438" s="37"/>
      <c r="P438" s="37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0.25" customHeight="1">
      <c r="A439" s="166"/>
      <c r="B439" s="167"/>
      <c r="C439" s="167"/>
      <c r="D439" s="177" t="s">
        <v>196</v>
      </c>
      <c r="E439" s="174"/>
      <c r="F439" s="174"/>
      <c r="G439" s="175"/>
      <c r="H439" s="35" t="s">
        <v>35</v>
      </c>
      <c r="I439" s="575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6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"),15)</f>
        <v>15</v>
      </c>
      <c r="K439" s="495">
        <f t="shared" ca="1" si="224"/>
        <v>4</v>
      </c>
      <c r="L439" s="37"/>
      <c r="M439" s="37"/>
      <c r="N439" s="37"/>
      <c r="O439" s="37"/>
      <c r="P439" s="37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0.25" customHeight="1">
      <c r="A440" s="166"/>
      <c r="B440" s="167"/>
      <c r="C440" s="167"/>
      <c r="D440" s="177" t="s">
        <v>197</v>
      </c>
      <c r="E440" s="174"/>
      <c r="F440" s="174"/>
      <c r="G440" s="175"/>
      <c r="H440" s="35" t="s">
        <v>49</v>
      </c>
      <c r="I440" s="36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79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"),1)</f>
        <v>1</v>
      </c>
      <c r="K440" s="37">
        <f t="shared" ca="1" si="224"/>
        <v>4.5454545454545459</v>
      </c>
      <c r="L440" s="37"/>
      <c r="M440" s="37"/>
      <c r="N440" s="37"/>
      <c r="O440" s="37"/>
      <c r="P440" s="37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0.25" customHeight="1">
      <c r="A441" s="166"/>
      <c r="B441" s="167"/>
      <c r="C441" s="167"/>
      <c r="D441" s="177" t="s">
        <v>198</v>
      </c>
      <c r="E441" s="174"/>
      <c r="F441" s="174"/>
      <c r="G441" s="175"/>
      <c r="H441" s="35" t="s">
        <v>35</v>
      </c>
      <c r="I441" s="36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64">
        <v>0</v>
      </c>
      <c r="K441" s="37">
        <f t="shared" ca="1" si="224"/>
        <v>0</v>
      </c>
      <c r="L441" s="37"/>
      <c r="M441" s="37"/>
      <c r="N441" s="37"/>
      <c r="O441" s="37"/>
      <c r="P441" s="37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0.25" customHeight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225">I460</f>
        <v>330</v>
      </c>
      <c r="J442" s="582">
        <f t="shared" ca="1" si="225"/>
        <v>0</v>
      </c>
      <c r="K442" s="583">
        <f t="shared" ca="1" si="224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20.25" customHeight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226">I462</f>
        <v>675</v>
      </c>
      <c r="J443" s="562">
        <f t="shared" ca="1" si="226"/>
        <v>0</v>
      </c>
      <c r="K443" s="563">
        <f t="shared" ca="1" si="224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20.25" customHeight="1">
      <c r="A444" s="589"/>
      <c r="B444" s="568"/>
      <c r="C444" s="568" t="s">
        <v>16</v>
      </c>
      <c r="D444" s="845" t="s">
        <v>17</v>
      </c>
      <c r="E444" s="846"/>
      <c r="F444" s="846"/>
      <c r="G444" s="185"/>
      <c r="H444" s="590" t="s">
        <v>12</v>
      </c>
      <c r="I444" s="36"/>
      <c r="J444" s="36"/>
      <c r="K444" s="37"/>
      <c r="L444" s="191">
        <f t="shared" ref="L444:N444" ca="1" si="227">L445+L446</f>
        <v>2157420</v>
      </c>
      <c r="M444" s="191">
        <f t="shared" si="227"/>
        <v>0</v>
      </c>
      <c r="N444" s="191">
        <f t="shared" ca="1" si="227"/>
        <v>23290</v>
      </c>
      <c r="O444" s="191">
        <f t="shared" ref="O444:O449" ca="1" si="228">IF(L444&gt;0,N444*100/L444,0)</f>
        <v>1.0795301795663339</v>
      </c>
      <c r="P444" s="191">
        <f t="shared" ref="P444:P449" si="229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20.25" hidden="1" customHeight="1">
      <c r="A445" s="591"/>
      <c r="B445" s="592"/>
      <c r="C445" s="592"/>
      <c r="D445" s="593"/>
      <c r="E445" s="594" t="s">
        <v>184</v>
      </c>
      <c r="F445" s="592"/>
      <c r="G445" s="595"/>
      <c r="H445" s="161" t="s">
        <v>12</v>
      </c>
      <c r="I445" s="43"/>
      <c r="J445" s="43"/>
      <c r="K445" s="44"/>
      <c r="L445" s="44">
        <f t="shared" ref="L445:N445" si="230">L448+L455</f>
        <v>0</v>
      </c>
      <c r="M445" s="44">
        <f t="shared" si="230"/>
        <v>0</v>
      </c>
      <c r="N445" s="44">
        <f t="shared" si="230"/>
        <v>0</v>
      </c>
      <c r="O445" s="44">
        <f t="shared" si="228"/>
        <v>0</v>
      </c>
      <c r="P445" s="44">
        <f t="shared" si="229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20.25" hidden="1" customHeight="1">
      <c r="A446" s="591"/>
      <c r="B446" s="597"/>
      <c r="C446" s="592"/>
      <c r="D446" s="593"/>
      <c r="E446" s="594" t="s">
        <v>185</v>
      </c>
      <c r="F446" s="592"/>
      <c r="G446" s="595"/>
      <c r="H446" s="161" t="s">
        <v>12</v>
      </c>
      <c r="I446" s="43"/>
      <c r="J446" s="43"/>
      <c r="K446" s="44"/>
      <c r="L446" s="44">
        <f t="shared" ref="L446:N446" ca="1" si="231">L449+L456</f>
        <v>2157420</v>
      </c>
      <c r="M446" s="44">
        <f t="shared" si="231"/>
        <v>0</v>
      </c>
      <c r="N446" s="44">
        <f t="shared" ca="1" si="231"/>
        <v>23290</v>
      </c>
      <c r="O446" s="44">
        <f t="shared" ca="1" si="228"/>
        <v>1.0795301795663339</v>
      </c>
      <c r="P446" s="44">
        <f t="shared" si="229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20.25" customHeight="1">
      <c r="A447" s="589"/>
      <c r="B447" s="567"/>
      <c r="C447" s="568"/>
      <c r="D447" s="598" t="s">
        <v>20</v>
      </c>
      <c r="E447" s="568"/>
      <c r="F447" s="568"/>
      <c r="G447" s="185"/>
      <c r="H447" s="157" t="s">
        <v>12</v>
      </c>
      <c r="I447" s="158"/>
      <c r="J447" s="158"/>
      <c r="K447" s="159"/>
      <c r="L447" s="37">
        <f t="shared" ref="L447:N447" ca="1" si="232">L448+L449</f>
        <v>2157420</v>
      </c>
      <c r="M447" s="37">
        <f t="shared" si="232"/>
        <v>0</v>
      </c>
      <c r="N447" s="37">
        <f t="shared" ca="1" si="232"/>
        <v>23290</v>
      </c>
      <c r="O447" s="37">
        <f t="shared" ca="1" si="228"/>
        <v>1.0795301795663339</v>
      </c>
      <c r="P447" s="37">
        <f t="shared" si="229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20.25" hidden="1" customHeight="1">
      <c r="A448" s="591"/>
      <c r="B448" s="597"/>
      <c r="C448" s="592"/>
      <c r="D448" s="593"/>
      <c r="E448" s="594" t="s">
        <v>184</v>
      </c>
      <c r="F448" s="592"/>
      <c r="G448" s="595"/>
      <c r="H448" s="161" t="s">
        <v>12</v>
      </c>
      <c r="I448" s="43"/>
      <c r="J448" s="43"/>
      <c r="K448" s="44"/>
      <c r="L448" s="90">
        <v>0</v>
      </c>
      <c r="M448" s="90">
        <v>0</v>
      </c>
      <c r="N448" s="90">
        <v>0</v>
      </c>
      <c r="O448" s="44">
        <f t="shared" si="228"/>
        <v>0</v>
      </c>
      <c r="P448" s="44">
        <f t="shared" si="229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20.25" hidden="1" customHeight="1">
      <c r="A449" s="591"/>
      <c r="B449" s="597"/>
      <c r="C449" s="592"/>
      <c r="D449" s="593"/>
      <c r="E449" s="594" t="s">
        <v>185</v>
      </c>
      <c r="F449" s="592"/>
      <c r="G449" s="595"/>
      <c r="H449" s="161" t="s">
        <v>12</v>
      </c>
      <c r="I449" s="43"/>
      <c r="J449" s="43"/>
      <c r="K449" s="44"/>
      <c r="L449" s="44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"),2157420)</f>
        <v>2157420</v>
      </c>
      <c r="M449" s="90">
        <v>0</v>
      </c>
      <c r="N449" s="44">
        <f ca="1">N450+N451+N452+N453</f>
        <v>23290</v>
      </c>
      <c r="O449" s="44">
        <f t="shared" ca="1" si="228"/>
        <v>1.0795301795663339</v>
      </c>
      <c r="P449" s="44">
        <f t="shared" si="229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20.25" customHeight="1">
      <c r="A450" s="566"/>
      <c r="B450" s="567"/>
      <c r="C450" s="568"/>
      <c r="D450" s="568"/>
      <c r="E450" s="568"/>
      <c r="F450" s="569" t="s">
        <v>186</v>
      </c>
      <c r="G450" s="185"/>
      <c r="H450" s="157" t="s">
        <v>12</v>
      </c>
      <c r="I450" s="36"/>
      <c r="J450" s="36"/>
      <c r="K450" s="37"/>
      <c r="L450" s="37"/>
      <c r="M450" s="37"/>
      <c r="N450" s="278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"),10290)</f>
        <v>10290</v>
      </c>
      <c r="O450" s="37"/>
      <c r="P450" s="37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20.25" customHeight="1">
      <c r="A451" s="566"/>
      <c r="B451" s="567"/>
      <c r="C451" s="568"/>
      <c r="D451" s="568"/>
      <c r="E451" s="568"/>
      <c r="F451" s="569" t="s">
        <v>187</v>
      </c>
      <c r="G451" s="185"/>
      <c r="H451" s="157" t="s">
        <v>12</v>
      </c>
      <c r="I451" s="36"/>
      <c r="J451" s="36"/>
      <c r="K451" s="37"/>
      <c r="L451" s="37"/>
      <c r="M451" s="37"/>
      <c r="N451" s="278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"),0)</f>
        <v>0</v>
      </c>
      <c r="O451" s="37"/>
      <c r="P451" s="37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20.25" customHeight="1">
      <c r="A452" s="566"/>
      <c r="B452" s="567"/>
      <c r="C452" s="567"/>
      <c r="D452" s="567"/>
      <c r="E452" s="567"/>
      <c r="F452" s="569" t="s">
        <v>188</v>
      </c>
      <c r="G452" s="185"/>
      <c r="H452" s="157" t="s">
        <v>12</v>
      </c>
      <c r="I452" s="36"/>
      <c r="J452" s="36"/>
      <c r="K452" s="37"/>
      <c r="L452" s="37"/>
      <c r="M452" s="37"/>
      <c r="N452" s="278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"),13000)</f>
        <v>13000</v>
      </c>
      <c r="O452" s="37"/>
      <c r="P452" s="37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20.25" customHeight="1">
      <c r="A453" s="566"/>
      <c r="B453" s="567"/>
      <c r="C453" s="567"/>
      <c r="D453" s="567"/>
      <c r="E453" s="567"/>
      <c r="F453" s="569" t="s">
        <v>189</v>
      </c>
      <c r="G453" s="185"/>
      <c r="H453" s="157" t="s">
        <v>12</v>
      </c>
      <c r="I453" s="36"/>
      <c r="J453" s="36"/>
      <c r="K453" s="37"/>
      <c r="L453" s="37"/>
      <c r="M453" s="37"/>
      <c r="N453" s="278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"),0)</f>
        <v>0</v>
      </c>
      <c r="O453" s="37"/>
      <c r="P453" s="37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20.25" customHeight="1">
      <c r="A454" s="589"/>
      <c r="B454" s="567"/>
      <c r="C454" s="567"/>
      <c r="D454" s="598" t="s">
        <v>21</v>
      </c>
      <c r="E454" s="567"/>
      <c r="F454" s="568"/>
      <c r="G454" s="185"/>
      <c r="H454" s="164" t="s">
        <v>12</v>
      </c>
      <c r="I454" s="158"/>
      <c r="J454" s="158"/>
      <c r="K454" s="159"/>
      <c r="L454" s="37">
        <f t="shared" ref="L454:N454" ca="1" si="233">L455+L456</f>
        <v>0</v>
      </c>
      <c r="M454" s="37">
        <f t="shared" si="233"/>
        <v>0</v>
      </c>
      <c r="N454" s="37">
        <f t="shared" si="233"/>
        <v>0</v>
      </c>
      <c r="O454" s="37">
        <f t="shared" ref="O454:O456" ca="1" si="234">IF(L454&gt;0,N454*100/L454,0)</f>
        <v>0</v>
      </c>
      <c r="P454" s="37">
        <f t="shared" ref="P454:P456" si="235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20.25" hidden="1" customHeight="1">
      <c r="A455" s="591"/>
      <c r="B455" s="597"/>
      <c r="C455" s="597"/>
      <c r="D455" s="597"/>
      <c r="E455" s="599" t="s">
        <v>18</v>
      </c>
      <c r="F455" s="592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44">
        <f t="shared" si="234"/>
        <v>0</v>
      </c>
      <c r="P455" s="44">
        <f t="shared" si="235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20.25" hidden="1" customHeight="1">
      <c r="A456" s="591"/>
      <c r="B456" s="597"/>
      <c r="C456" s="597"/>
      <c r="D456" s="597"/>
      <c r="E456" s="599" t="s">
        <v>19</v>
      </c>
      <c r="F456" s="592"/>
      <c r="G456" s="595"/>
      <c r="H456" s="165" t="s">
        <v>12</v>
      </c>
      <c r="I456" s="162"/>
      <c r="J456" s="162"/>
      <c r="K456" s="163"/>
      <c r="L456" s="44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0">
        <v>0</v>
      </c>
      <c r="N456" s="90">
        <v>0</v>
      </c>
      <c r="O456" s="44">
        <f t="shared" ca="1" si="234"/>
        <v>0</v>
      </c>
      <c r="P456" s="44">
        <f t="shared" si="235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20.25" customHeight="1">
      <c r="A457" s="600"/>
      <c r="B457" s="601"/>
      <c r="C457" s="567" t="s">
        <v>16</v>
      </c>
      <c r="D457" s="602" t="s">
        <v>38</v>
      </c>
      <c r="E457" s="603"/>
      <c r="F457" s="604"/>
      <c r="G457" s="605"/>
      <c r="H457" s="171"/>
      <c r="I457" s="36"/>
      <c r="J457" s="36"/>
      <c r="K457" s="37"/>
      <c r="L457" s="37"/>
      <c r="M457" s="37"/>
      <c r="N457" s="37"/>
      <c r="O457" s="37"/>
      <c r="P457" s="37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20.25" hidden="1" customHeight="1">
      <c r="A458" s="606"/>
      <c r="B458" s="607"/>
      <c r="C458" s="607"/>
      <c r="D458" s="608" t="s">
        <v>200</v>
      </c>
      <c r="E458" s="607"/>
      <c r="F458" s="593"/>
      <c r="G458" s="361"/>
      <c r="H458" s="365" t="s">
        <v>35</v>
      </c>
      <c r="I458" s="609">
        <v>0</v>
      </c>
      <c r="J458" s="609">
        <v>0</v>
      </c>
      <c r="K458" s="44">
        <f>IF(I458&gt;0,J458*100/I458,0)</f>
        <v>0</v>
      </c>
      <c r="L458" s="44"/>
      <c r="M458" s="44"/>
      <c r="N458" s="44"/>
      <c r="O458" s="44"/>
      <c r="P458" s="44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20.25" hidden="1" customHeight="1">
      <c r="A459" s="606"/>
      <c r="B459" s="607"/>
      <c r="C459" s="607"/>
      <c r="D459" s="608" t="s">
        <v>201</v>
      </c>
      <c r="E459" s="607"/>
      <c r="F459" s="593"/>
      <c r="G459" s="361"/>
      <c r="H459" s="365"/>
      <c r="I459" s="43"/>
      <c r="J459" s="43"/>
      <c r="K459" s="44"/>
      <c r="L459" s="44"/>
      <c r="M459" s="44"/>
      <c r="N459" s="44"/>
      <c r="O459" s="44"/>
      <c r="P459" s="44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20.25" customHeight="1">
      <c r="A460" s="600"/>
      <c r="B460" s="601"/>
      <c r="C460" s="601"/>
      <c r="D460" s="610" t="s">
        <v>202</v>
      </c>
      <c r="E460" s="601"/>
      <c r="F460" s="611"/>
      <c r="G460" s="171"/>
      <c r="H460" s="178" t="s">
        <v>35</v>
      </c>
      <c r="I460" s="36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79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"),0)</f>
        <v>0</v>
      </c>
      <c r="K460" s="37">
        <f ca="1">IF(I460&gt;0,J460*100/I460,0)</f>
        <v>0</v>
      </c>
      <c r="L460" s="37"/>
      <c r="M460" s="37"/>
      <c r="N460" s="37"/>
      <c r="O460" s="37"/>
      <c r="P460" s="37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20.25" customHeight="1">
      <c r="A461" s="600"/>
      <c r="B461" s="601"/>
      <c r="C461" s="601"/>
      <c r="D461" s="610" t="s">
        <v>203</v>
      </c>
      <c r="E461" s="611"/>
      <c r="F461" s="611"/>
      <c r="G461" s="171"/>
      <c r="H461" s="178"/>
      <c r="I461" s="36"/>
      <c r="J461" s="36"/>
      <c r="K461" s="37"/>
      <c r="L461" s="37"/>
      <c r="M461" s="37"/>
      <c r="N461" s="37"/>
      <c r="O461" s="37"/>
      <c r="P461" s="37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20.25" customHeight="1">
      <c r="A462" s="600"/>
      <c r="B462" s="601"/>
      <c r="C462" s="601"/>
      <c r="D462" s="610" t="s">
        <v>204</v>
      </c>
      <c r="E462" s="611"/>
      <c r="F462" s="611"/>
      <c r="G462" s="171"/>
      <c r="H462" s="178" t="s">
        <v>46</v>
      </c>
      <c r="I462" s="36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79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"),0)</f>
        <v>0</v>
      </c>
      <c r="K462" s="37">
        <f ca="1">IF(I462&gt;0,J462*100/I462,0)</f>
        <v>0</v>
      </c>
      <c r="L462" s="37"/>
      <c r="M462" s="37"/>
      <c r="N462" s="37"/>
      <c r="O462" s="37"/>
      <c r="P462" s="37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20.25" customHeight="1">
      <c r="A463" s="600"/>
      <c r="B463" s="601"/>
      <c r="C463" s="601"/>
      <c r="D463" s="610" t="s">
        <v>59</v>
      </c>
      <c r="E463" s="611"/>
      <c r="F463" s="568"/>
      <c r="G463" s="185"/>
      <c r="H463" s="178" t="s">
        <v>46</v>
      </c>
      <c r="I463" s="264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79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"),0)</f>
        <v>0</v>
      </c>
      <c r="K463" s="37"/>
      <c r="L463" s="37"/>
      <c r="M463" s="37"/>
      <c r="N463" s="37"/>
      <c r="O463" s="37"/>
      <c r="P463" s="37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20.25" customHeight="1">
      <c r="A464" s="600"/>
      <c r="B464" s="601"/>
      <c r="C464" s="601"/>
      <c r="D464" s="601"/>
      <c r="E464" s="611"/>
      <c r="F464" s="611"/>
      <c r="G464" s="612"/>
      <c r="H464" s="178" t="s">
        <v>35</v>
      </c>
      <c r="I464" s="264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79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"),0)</f>
        <v>0</v>
      </c>
      <c r="K464" s="37"/>
      <c r="L464" s="37"/>
      <c r="M464" s="37"/>
      <c r="N464" s="37"/>
      <c r="O464" s="37"/>
      <c r="P464" s="37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20.25" customHeight="1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2">
        <f ca="1">J485+J489+J492</f>
        <v>0</v>
      </c>
      <c r="K465" s="583">
        <f t="shared" ref="K465:K466" ca="1" si="236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20.25" customHeight="1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2">
        <f ca="1">J483+J487</f>
        <v>0</v>
      </c>
      <c r="K466" s="563">
        <f t="shared" ca="1" si="236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20.25" customHeight="1">
      <c r="A467" s="589"/>
      <c r="B467" s="568"/>
      <c r="C467" s="568" t="s">
        <v>16</v>
      </c>
      <c r="D467" s="845" t="s">
        <v>17</v>
      </c>
      <c r="E467" s="846"/>
      <c r="F467" s="846"/>
      <c r="G467" s="185"/>
      <c r="H467" s="590" t="s">
        <v>12</v>
      </c>
      <c r="I467" s="36"/>
      <c r="J467" s="36"/>
      <c r="K467" s="37"/>
      <c r="L467" s="191">
        <f>M468+M469</f>
        <v>0</v>
      </c>
      <c r="M467" s="191">
        <f t="shared" ref="M467:N467" si="237">M468+M469</f>
        <v>0</v>
      </c>
      <c r="N467" s="191">
        <f t="shared" ca="1" si="237"/>
        <v>28662</v>
      </c>
      <c r="O467" s="191">
        <f t="shared" ref="O467:O469" si="238">IF(M467&gt;0,N467*100/M467,0)</f>
        <v>0</v>
      </c>
      <c r="P467" s="191">
        <f t="shared" ref="P467:P472" si="239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20.25" hidden="1" customHeight="1">
      <c r="A468" s="591"/>
      <c r="B468" s="592"/>
      <c r="C468" s="592"/>
      <c r="D468" s="593"/>
      <c r="E468" s="594" t="s">
        <v>184</v>
      </c>
      <c r="F468" s="592"/>
      <c r="G468" s="595"/>
      <c r="H468" s="161" t="s">
        <v>12</v>
      </c>
      <c r="I468" s="43"/>
      <c r="J468" s="43"/>
      <c r="K468" s="44"/>
      <c r="L468" s="44">
        <f t="shared" ref="L468:N468" si="240">L471+L478</f>
        <v>0</v>
      </c>
      <c r="M468" s="44">
        <f t="shared" si="240"/>
        <v>0</v>
      </c>
      <c r="N468" s="44">
        <f t="shared" si="240"/>
        <v>0</v>
      </c>
      <c r="O468" s="44">
        <f t="shared" si="238"/>
        <v>0</v>
      </c>
      <c r="P468" s="44">
        <f t="shared" si="239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20.25" hidden="1" customHeight="1">
      <c r="A469" s="591"/>
      <c r="B469" s="597"/>
      <c r="C469" s="592"/>
      <c r="D469" s="593"/>
      <c r="E469" s="594" t="s">
        <v>185</v>
      </c>
      <c r="F469" s="592"/>
      <c r="G469" s="595"/>
      <c r="H469" s="161" t="s">
        <v>12</v>
      </c>
      <c r="I469" s="43"/>
      <c r="J469" s="43"/>
      <c r="K469" s="44"/>
      <c r="L469" s="44">
        <f t="shared" ref="L469:N469" ca="1" si="241">L472+L479</f>
        <v>6956180</v>
      </c>
      <c r="M469" s="44">
        <f t="shared" si="241"/>
        <v>0</v>
      </c>
      <c r="N469" s="44">
        <f t="shared" ca="1" si="241"/>
        <v>28662</v>
      </c>
      <c r="O469" s="44">
        <f t="shared" si="238"/>
        <v>0</v>
      </c>
      <c r="P469" s="44">
        <f t="shared" si="239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20.25" customHeight="1">
      <c r="A470" s="589"/>
      <c r="B470" s="567"/>
      <c r="C470" s="568"/>
      <c r="D470" s="598" t="s">
        <v>20</v>
      </c>
      <c r="E470" s="568"/>
      <c r="F470" s="568"/>
      <c r="G470" s="185"/>
      <c r="H470" s="157" t="s">
        <v>12</v>
      </c>
      <c r="I470" s="158"/>
      <c r="J470" s="158"/>
      <c r="K470" s="159"/>
      <c r="L470" s="37">
        <f t="shared" ref="L470:N470" ca="1" si="242">L471+L472</f>
        <v>6956180</v>
      </c>
      <c r="M470" s="37">
        <f t="shared" si="242"/>
        <v>0</v>
      </c>
      <c r="N470" s="37">
        <f t="shared" ca="1" si="242"/>
        <v>28662</v>
      </c>
      <c r="O470" s="37">
        <f t="shared" ref="O470:O472" ca="1" si="243">IF(L470&gt;0,N470*100/L470,0)</f>
        <v>0.41203649129263475</v>
      </c>
      <c r="P470" s="37">
        <f t="shared" si="239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20.25" hidden="1" customHeight="1">
      <c r="A471" s="591"/>
      <c r="B471" s="597"/>
      <c r="C471" s="592"/>
      <c r="D471" s="593"/>
      <c r="E471" s="594" t="s">
        <v>184</v>
      </c>
      <c r="F471" s="592"/>
      <c r="G471" s="595"/>
      <c r="H471" s="161" t="s">
        <v>12</v>
      </c>
      <c r="I471" s="43"/>
      <c r="J471" s="43"/>
      <c r="K471" s="44"/>
      <c r="L471" s="90">
        <v>0</v>
      </c>
      <c r="M471" s="90">
        <v>0</v>
      </c>
      <c r="N471" s="90">
        <v>0</v>
      </c>
      <c r="O471" s="44">
        <f t="shared" si="243"/>
        <v>0</v>
      </c>
      <c r="P471" s="44">
        <f t="shared" si="239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20.25" hidden="1" customHeight="1">
      <c r="A472" s="591"/>
      <c r="B472" s="597"/>
      <c r="C472" s="592"/>
      <c r="D472" s="593"/>
      <c r="E472" s="594" t="s">
        <v>185</v>
      </c>
      <c r="F472" s="592"/>
      <c r="G472" s="595"/>
      <c r="H472" s="161" t="s">
        <v>12</v>
      </c>
      <c r="I472" s="43"/>
      <c r="J472" s="43"/>
      <c r="K472" s="44"/>
      <c r="L472" s="44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"),6956180)</f>
        <v>6956180</v>
      </c>
      <c r="M472" s="90">
        <v>0</v>
      </c>
      <c r="N472" s="44">
        <f ca="1">N473+N474+N475+N476</f>
        <v>28662</v>
      </c>
      <c r="O472" s="44">
        <f t="shared" ca="1" si="243"/>
        <v>0.41203649129263475</v>
      </c>
      <c r="P472" s="44">
        <f t="shared" si="239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20.25" customHeight="1">
      <c r="A473" s="566"/>
      <c r="B473" s="567"/>
      <c r="C473" s="568"/>
      <c r="D473" s="568"/>
      <c r="E473" s="568"/>
      <c r="F473" s="569" t="s">
        <v>186</v>
      </c>
      <c r="G473" s="185"/>
      <c r="H473" s="157" t="s">
        <v>12</v>
      </c>
      <c r="I473" s="36"/>
      <c r="J473" s="36"/>
      <c r="K473" s="37"/>
      <c r="L473" s="37"/>
      <c r="M473" s="37"/>
      <c r="N473" s="278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"),0)</f>
        <v>0</v>
      </c>
      <c r="O473" s="37"/>
      <c r="P473" s="37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20.25" customHeight="1">
      <c r="A474" s="566"/>
      <c r="B474" s="567"/>
      <c r="C474" s="568"/>
      <c r="D474" s="568"/>
      <c r="E474" s="568"/>
      <c r="F474" s="569" t="s">
        <v>187</v>
      </c>
      <c r="G474" s="185"/>
      <c r="H474" s="157" t="s">
        <v>12</v>
      </c>
      <c r="I474" s="36"/>
      <c r="J474" s="36"/>
      <c r="K474" s="37"/>
      <c r="L474" s="37"/>
      <c r="M474" s="37"/>
      <c r="N474" s="278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"),880)</f>
        <v>880</v>
      </c>
      <c r="O474" s="37"/>
      <c r="P474" s="37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20.25" customHeight="1">
      <c r="A475" s="566"/>
      <c r="B475" s="567"/>
      <c r="C475" s="567"/>
      <c r="D475" s="567"/>
      <c r="E475" s="567"/>
      <c r="F475" s="569" t="s">
        <v>188</v>
      </c>
      <c r="G475" s="185"/>
      <c r="H475" s="157" t="s">
        <v>12</v>
      </c>
      <c r="I475" s="36"/>
      <c r="J475" s="36"/>
      <c r="K475" s="37"/>
      <c r="L475" s="37"/>
      <c r="M475" s="37"/>
      <c r="N475" s="278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"),13000)</f>
        <v>13000</v>
      </c>
      <c r="O475" s="37"/>
      <c r="P475" s="37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20.25" customHeight="1">
      <c r="A476" s="566"/>
      <c r="B476" s="567"/>
      <c r="C476" s="567"/>
      <c r="D476" s="567"/>
      <c r="E476" s="567"/>
      <c r="F476" s="569" t="s">
        <v>189</v>
      </c>
      <c r="G476" s="185"/>
      <c r="H476" s="157" t="s">
        <v>12</v>
      </c>
      <c r="I476" s="36"/>
      <c r="J476" s="36"/>
      <c r="K476" s="37"/>
      <c r="L476" s="37"/>
      <c r="M476" s="37"/>
      <c r="N476" s="278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"),14782)</f>
        <v>14782</v>
      </c>
      <c r="O476" s="37"/>
      <c r="P476" s="37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20.25" customHeight="1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58"/>
      <c r="J477" s="158"/>
      <c r="K477" s="159"/>
      <c r="L477" s="37">
        <f t="shared" ref="L477:N477" ca="1" si="244">L478+L479</f>
        <v>0</v>
      </c>
      <c r="M477" s="37">
        <f t="shared" si="244"/>
        <v>0</v>
      </c>
      <c r="N477" s="37">
        <f t="shared" si="244"/>
        <v>0</v>
      </c>
      <c r="O477" s="37">
        <f t="shared" ref="O477:O479" ca="1" si="245">IF(L477&gt;0,N477*100/L477,0)</f>
        <v>0</v>
      </c>
      <c r="P477" s="37">
        <f t="shared" ref="P477:P479" si="246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20.25" hidden="1" customHeight="1">
      <c r="A478" s="591"/>
      <c r="B478" s="597"/>
      <c r="C478" s="597"/>
      <c r="D478" s="597"/>
      <c r="E478" s="599" t="s">
        <v>18</v>
      </c>
      <c r="F478" s="597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44">
        <f t="shared" si="245"/>
        <v>0</v>
      </c>
      <c r="P478" s="44">
        <f t="shared" si="246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20.25" hidden="1" customHeight="1">
      <c r="A479" s="591"/>
      <c r="B479" s="597"/>
      <c r="C479" s="597"/>
      <c r="D479" s="597"/>
      <c r="E479" s="599" t="s">
        <v>19</v>
      </c>
      <c r="F479" s="597"/>
      <c r="G479" s="595"/>
      <c r="H479" s="165" t="s">
        <v>12</v>
      </c>
      <c r="I479" s="162"/>
      <c r="J479" s="162"/>
      <c r="K479" s="163"/>
      <c r="L479" s="44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0">
        <v>0</v>
      </c>
      <c r="N479" s="90">
        <v>0</v>
      </c>
      <c r="O479" s="44">
        <f t="shared" ca="1" si="245"/>
        <v>0</v>
      </c>
      <c r="P479" s="44">
        <f t="shared" si="246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20.25" customHeight="1">
      <c r="A480" s="600"/>
      <c r="B480" s="601"/>
      <c r="C480" s="567" t="s">
        <v>16</v>
      </c>
      <c r="D480" s="613" t="s">
        <v>38</v>
      </c>
      <c r="E480" s="603"/>
      <c r="F480" s="604"/>
      <c r="G480" s="605"/>
      <c r="H480" s="171"/>
      <c r="I480" s="36"/>
      <c r="J480" s="36"/>
      <c r="K480" s="37"/>
      <c r="L480" s="37"/>
      <c r="M480" s="37"/>
      <c r="N480" s="37"/>
      <c r="O480" s="37"/>
      <c r="P480" s="37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20.25" customHeight="1">
      <c r="A481" s="600"/>
      <c r="B481" s="601"/>
      <c r="C481" s="601"/>
      <c r="D481" s="614" t="s">
        <v>206</v>
      </c>
      <c r="E481" s="601"/>
      <c r="F481" s="601"/>
      <c r="G481" s="171"/>
      <c r="H481" s="185"/>
      <c r="I481" s="36"/>
      <c r="J481" s="36"/>
      <c r="K481" s="37"/>
      <c r="L481" s="37"/>
      <c r="M481" s="37"/>
      <c r="N481" s="37"/>
      <c r="O481" s="37"/>
      <c r="P481" s="37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20.25" customHeight="1">
      <c r="A482" s="600"/>
      <c r="B482" s="601"/>
      <c r="C482" s="601"/>
      <c r="D482" s="601"/>
      <c r="E482" s="610" t="s">
        <v>207</v>
      </c>
      <c r="F482" s="601"/>
      <c r="G482" s="171"/>
      <c r="H482" s="185"/>
      <c r="I482" s="36"/>
      <c r="J482" s="36"/>
      <c r="K482" s="37"/>
      <c r="L482" s="37"/>
      <c r="M482" s="37"/>
      <c r="N482" s="37"/>
      <c r="O482" s="37"/>
      <c r="P482" s="37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20.25" customHeight="1">
      <c r="A483" s="600"/>
      <c r="B483" s="601"/>
      <c r="C483" s="601"/>
      <c r="D483" s="601"/>
      <c r="E483" s="601"/>
      <c r="F483" s="610" t="s">
        <v>208</v>
      </c>
      <c r="G483" s="171"/>
      <c r="H483" s="35" t="s">
        <v>46</v>
      </c>
      <c r="I483" s="36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79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"),0)</f>
        <v>0</v>
      </c>
      <c r="K483" s="37">
        <f ca="1">IF(I483&gt;0,J483*100/I483,0)</f>
        <v>0</v>
      </c>
      <c r="L483" s="37"/>
      <c r="M483" s="37"/>
      <c r="N483" s="37"/>
      <c r="O483" s="37"/>
      <c r="P483" s="37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20.25" customHeight="1">
      <c r="A484" s="600"/>
      <c r="B484" s="601"/>
      <c r="C484" s="601"/>
      <c r="D484" s="601"/>
      <c r="E484" s="601"/>
      <c r="F484" s="610" t="s">
        <v>209</v>
      </c>
      <c r="G484" s="171"/>
      <c r="H484" s="35" t="s">
        <v>35</v>
      </c>
      <c r="I484" s="36"/>
      <c r="J484" s="179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"),0)</f>
        <v>0</v>
      </c>
      <c r="K484" s="37"/>
      <c r="L484" s="37"/>
      <c r="M484" s="37"/>
      <c r="N484" s="37"/>
      <c r="O484" s="37"/>
      <c r="P484" s="37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20.25" customHeight="1">
      <c r="A485" s="600"/>
      <c r="B485" s="601"/>
      <c r="C485" s="601"/>
      <c r="D485" s="601"/>
      <c r="E485" s="601"/>
      <c r="F485" s="610" t="s">
        <v>210</v>
      </c>
      <c r="G485" s="171"/>
      <c r="H485" s="35" t="s">
        <v>35</v>
      </c>
      <c r="I485" s="36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79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"),0)</f>
        <v>0</v>
      </c>
      <c r="K485" s="37">
        <f ca="1">IF(I485&gt;0,J485*100/I485,0)</f>
        <v>0</v>
      </c>
      <c r="L485" s="37"/>
      <c r="M485" s="37"/>
      <c r="N485" s="37"/>
      <c r="O485" s="37"/>
      <c r="P485" s="37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20.25" customHeight="1">
      <c r="A486" s="600"/>
      <c r="B486" s="601"/>
      <c r="C486" s="601"/>
      <c r="D486" s="601"/>
      <c r="E486" s="610" t="s">
        <v>62</v>
      </c>
      <c r="F486" s="601"/>
      <c r="G486" s="171"/>
      <c r="H486" s="35"/>
      <c r="I486" s="36"/>
      <c r="J486" s="36"/>
      <c r="K486" s="37"/>
      <c r="L486" s="37"/>
      <c r="M486" s="37"/>
      <c r="N486" s="37"/>
      <c r="O486" s="37"/>
      <c r="P486" s="37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20.25" customHeight="1">
      <c r="A487" s="600"/>
      <c r="B487" s="601"/>
      <c r="C487" s="601"/>
      <c r="D487" s="601"/>
      <c r="E487" s="601"/>
      <c r="F487" s="610" t="s">
        <v>208</v>
      </c>
      <c r="G487" s="171"/>
      <c r="H487" s="35" t="s">
        <v>46</v>
      </c>
      <c r="I487" s="36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79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"),0)</f>
        <v>0</v>
      </c>
      <c r="K487" s="37">
        <f ca="1">IF(I487&gt;0,J487*100/I487,0)</f>
        <v>0</v>
      </c>
      <c r="L487" s="37"/>
      <c r="M487" s="37"/>
      <c r="N487" s="37"/>
      <c r="O487" s="37"/>
      <c r="P487" s="37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20.25" customHeight="1">
      <c r="A488" s="600"/>
      <c r="B488" s="601"/>
      <c r="C488" s="601"/>
      <c r="D488" s="601"/>
      <c r="E488" s="601"/>
      <c r="F488" s="610" t="s">
        <v>211</v>
      </c>
      <c r="G488" s="171"/>
      <c r="H488" s="35" t="s">
        <v>35</v>
      </c>
      <c r="I488" s="36"/>
      <c r="J488" s="179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"),0)</f>
        <v>0</v>
      </c>
      <c r="K488" s="37"/>
      <c r="L488" s="37"/>
      <c r="M488" s="37"/>
      <c r="N488" s="37"/>
      <c r="O488" s="37"/>
      <c r="P488" s="37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20.25" customHeight="1">
      <c r="A489" s="600"/>
      <c r="B489" s="601"/>
      <c r="C489" s="601"/>
      <c r="D489" s="601"/>
      <c r="E489" s="601"/>
      <c r="F489" s="610" t="s">
        <v>212</v>
      </c>
      <c r="G489" s="171"/>
      <c r="H489" s="615" t="s">
        <v>35</v>
      </c>
      <c r="I489" s="36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79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"),0)</f>
        <v>0</v>
      </c>
      <c r="K489" s="37">
        <f ca="1">IF(I489&gt;0,J489*100/I489,0)</f>
        <v>0</v>
      </c>
      <c r="L489" s="37"/>
      <c r="M489" s="37"/>
      <c r="N489" s="37"/>
      <c r="O489" s="37"/>
      <c r="P489" s="37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20.25" customHeight="1">
      <c r="A490" s="600"/>
      <c r="B490" s="601"/>
      <c r="C490" s="601"/>
      <c r="D490" s="601"/>
      <c r="E490" s="610" t="s">
        <v>63</v>
      </c>
      <c r="F490" s="616"/>
      <c r="G490" s="171"/>
      <c r="H490" s="615"/>
      <c r="I490" s="36"/>
      <c r="J490" s="36"/>
      <c r="K490" s="37"/>
      <c r="L490" s="37"/>
      <c r="M490" s="37"/>
      <c r="N490" s="37"/>
      <c r="O490" s="37"/>
      <c r="P490" s="37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20.25" customHeight="1">
      <c r="A491" s="600"/>
      <c r="B491" s="601"/>
      <c r="C491" s="601"/>
      <c r="D491" s="601"/>
      <c r="E491" s="601"/>
      <c r="F491" s="610" t="s">
        <v>213</v>
      </c>
      <c r="G491" s="171"/>
      <c r="H491" s="35" t="s">
        <v>35</v>
      </c>
      <c r="I491" s="36"/>
      <c r="J491" s="179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"),0)</f>
        <v>0</v>
      </c>
      <c r="K491" s="37"/>
      <c r="L491" s="37"/>
      <c r="M491" s="37"/>
      <c r="N491" s="37"/>
      <c r="O491" s="37"/>
      <c r="P491" s="37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20.25" customHeight="1">
      <c r="A492" s="600"/>
      <c r="B492" s="601"/>
      <c r="C492" s="601"/>
      <c r="D492" s="601"/>
      <c r="E492" s="601"/>
      <c r="F492" s="610" t="s">
        <v>214</v>
      </c>
      <c r="G492" s="171"/>
      <c r="H492" s="35" t="s">
        <v>35</v>
      </c>
      <c r="I492" s="36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79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"),0)</f>
        <v>0</v>
      </c>
      <c r="K492" s="37">
        <f ca="1">IF(I492&gt;0,J492*100/I492,0)</f>
        <v>0</v>
      </c>
      <c r="L492" s="37"/>
      <c r="M492" s="37"/>
      <c r="N492" s="37"/>
      <c r="O492" s="37"/>
      <c r="P492" s="37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20.25" customHeight="1">
      <c r="A493" s="600"/>
      <c r="B493" s="601"/>
      <c r="C493" s="601"/>
      <c r="D493" s="617" t="s">
        <v>59</v>
      </c>
      <c r="E493" s="601"/>
      <c r="F493" s="611"/>
      <c r="G493" s="171"/>
      <c r="H493" s="185"/>
      <c r="I493" s="36"/>
      <c r="J493" s="36"/>
      <c r="K493" s="37"/>
      <c r="L493" s="37"/>
      <c r="M493" s="37"/>
      <c r="N493" s="37"/>
      <c r="O493" s="37"/>
      <c r="P493" s="37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20.25" customHeight="1">
      <c r="A494" s="600"/>
      <c r="B494" s="601"/>
      <c r="C494" s="601"/>
      <c r="D494" s="601"/>
      <c r="E494" s="610" t="s">
        <v>207</v>
      </c>
      <c r="F494" s="611"/>
      <c r="G494" s="171"/>
      <c r="H494" s="185"/>
      <c r="I494" s="36"/>
      <c r="J494" s="36"/>
      <c r="K494" s="37"/>
      <c r="L494" s="37"/>
      <c r="M494" s="37"/>
      <c r="N494" s="37"/>
      <c r="O494" s="37"/>
      <c r="P494" s="37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20.25" customHeight="1">
      <c r="A495" s="600"/>
      <c r="B495" s="601"/>
      <c r="C495" s="601"/>
      <c r="D495" s="601"/>
      <c r="E495" s="601"/>
      <c r="F495" s="183" t="s">
        <v>215</v>
      </c>
      <c r="G495" s="171"/>
      <c r="H495" s="35" t="s">
        <v>46</v>
      </c>
      <c r="I495" s="36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79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"),0)</f>
        <v>0</v>
      </c>
      <c r="K495" s="37">
        <f ca="1">IF(I495&gt;0,J495*100/I495,0)</f>
        <v>0</v>
      </c>
      <c r="L495" s="37"/>
      <c r="M495" s="37"/>
      <c r="N495" s="37"/>
      <c r="O495" s="37"/>
      <c r="P495" s="37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20.25" customHeight="1">
      <c r="A496" s="600"/>
      <c r="B496" s="601"/>
      <c r="C496" s="601"/>
      <c r="D496" s="601"/>
      <c r="E496" s="601"/>
      <c r="F496" s="183" t="s">
        <v>216</v>
      </c>
      <c r="G496" s="171"/>
      <c r="H496" s="35" t="s">
        <v>46</v>
      </c>
      <c r="I496" s="36"/>
      <c r="J496" s="179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"),0)</f>
        <v>0</v>
      </c>
      <c r="K496" s="37"/>
      <c r="L496" s="37"/>
      <c r="M496" s="37"/>
      <c r="N496" s="37"/>
      <c r="O496" s="37"/>
      <c r="P496" s="37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20.25" customHeight="1">
      <c r="A497" s="600"/>
      <c r="B497" s="601"/>
      <c r="C497" s="601"/>
      <c r="D497" s="601"/>
      <c r="E497" s="610" t="s">
        <v>62</v>
      </c>
      <c r="F497" s="611"/>
      <c r="G497" s="171"/>
      <c r="H497" s="185"/>
      <c r="I497" s="36"/>
      <c r="J497" s="36"/>
      <c r="K497" s="37"/>
      <c r="L497" s="37"/>
      <c r="M497" s="37"/>
      <c r="N497" s="37"/>
      <c r="O497" s="37"/>
      <c r="P497" s="37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20.25" customHeight="1">
      <c r="A498" s="600"/>
      <c r="B498" s="601"/>
      <c r="C498" s="601"/>
      <c r="D498" s="601"/>
      <c r="E498" s="611"/>
      <c r="F498" s="618" t="s">
        <v>217</v>
      </c>
      <c r="G498" s="171"/>
      <c r="H498" s="35" t="s">
        <v>46</v>
      </c>
      <c r="I498" s="36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79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"),0)</f>
        <v>0</v>
      </c>
      <c r="K498" s="37">
        <f ca="1">IF(I498&gt;0,J498*100/I498,0)</f>
        <v>0</v>
      </c>
      <c r="L498" s="37"/>
      <c r="M498" s="37"/>
      <c r="N498" s="37"/>
      <c r="O498" s="37"/>
      <c r="P498" s="37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20.25" customHeight="1">
      <c r="A499" s="600"/>
      <c r="B499" s="601"/>
      <c r="C499" s="601"/>
      <c r="D499" s="601"/>
      <c r="E499" s="611"/>
      <c r="F499" s="618" t="s">
        <v>218</v>
      </c>
      <c r="G499" s="171"/>
      <c r="H499" s="35" t="s">
        <v>46</v>
      </c>
      <c r="I499" s="36"/>
      <c r="J499" s="179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"),0)</f>
        <v>0</v>
      </c>
      <c r="K499" s="37"/>
      <c r="L499" s="37"/>
      <c r="M499" s="37"/>
      <c r="N499" s="37"/>
      <c r="O499" s="37"/>
      <c r="P499" s="37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20.25" hidden="1" customHeight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47">J516</f>
        <v>0</v>
      </c>
      <c r="K500" s="626">
        <f t="shared" ref="K500:K501" si="248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20.25" hidden="1" customHeight="1">
      <c r="A501" s="628"/>
      <c r="B501" s="629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47"/>
        <v>0</v>
      </c>
      <c r="K501" s="635">
        <f t="shared" si="248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20.25" hidden="1" customHeight="1">
      <c r="A502" s="591"/>
      <c r="B502" s="592"/>
      <c r="C502" s="592" t="s">
        <v>16</v>
      </c>
      <c r="D502" s="850" t="s">
        <v>17</v>
      </c>
      <c r="E502" s="846"/>
      <c r="F502" s="846"/>
      <c r="G502" s="595"/>
      <c r="H502" s="638" t="s">
        <v>12</v>
      </c>
      <c r="I502" s="43"/>
      <c r="J502" s="43"/>
      <c r="K502" s="44"/>
      <c r="L502" s="639">
        <f t="shared" ref="L502:N502" si="249">L503+L504</f>
        <v>0</v>
      </c>
      <c r="M502" s="639">
        <f t="shared" si="249"/>
        <v>0</v>
      </c>
      <c r="N502" s="639">
        <f t="shared" si="249"/>
        <v>0</v>
      </c>
      <c r="O502" s="639">
        <f t="shared" ref="O502:O507" si="250">IF(L502&gt;0,N502*100/L502,0)</f>
        <v>0</v>
      </c>
      <c r="P502" s="639">
        <f t="shared" ref="P502:P507" si="251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20.25" hidden="1" customHeight="1">
      <c r="A503" s="591"/>
      <c r="B503" s="592"/>
      <c r="C503" s="592"/>
      <c r="D503" s="593"/>
      <c r="E503" s="594" t="s">
        <v>184</v>
      </c>
      <c r="F503" s="592"/>
      <c r="G503" s="595"/>
      <c r="H503" s="161" t="s">
        <v>12</v>
      </c>
      <c r="I503" s="43"/>
      <c r="J503" s="43"/>
      <c r="K503" s="44"/>
      <c r="L503" s="44">
        <f t="shared" ref="L503:N503" si="252">L506+L513</f>
        <v>0</v>
      </c>
      <c r="M503" s="44">
        <f t="shared" si="252"/>
        <v>0</v>
      </c>
      <c r="N503" s="44">
        <f t="shared" si="252"/>
        <v>0</v>
      </c>
      <c r="O503" s="44">
        <f t="shared" si="250"/>
        <v>0</v>
      </c>
      <c r="P503" s="44">
        <f t="shared" si="251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20.25" hidden="1" customHeight="1">
      <c r="A504" s="591"/>
      <c r="B504" s="597"/>
      <c r="C504" s="592"/>
      <c r="D504" s="593"/>
      <c r="E504" s="594" t="s">
        <v>185</v>
      </c>
      <c r="F504" s="592"/>
      <c r="G504" s="595"/>
      <c r="H504" s="161" t="s">
        <v>12</v>
      </c>
      <c r="I504" s="43"/>
      <c r="J504" s="43"/>
      <c r="K504" s="44"/>
      <c r="L504" s="44">
        <f t="shared" ref="L504:N504" si="253">L507+L514</f>
        <v>0</v>
      </c>
      <c r="M504" s="44">
        <f t="shared" si="253"/>
        <v>0</v>
      </c>
      <c r="N504" s="44">
        <f t="shared" si="253"/>
        <v>0</v>
      </c>
      <c r="O504" s="44">
        <f t="shared" si="250"/>
        <v>0</v>
      </c>
      <c r="P504" s="44">
        <f t="shared" si="251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20.25" hidden="1" customHeight="1">
      <c r="A505" s="591"/>
      <c r="B505" s="597"/>
      <c r="C505" s="592"/>
      <c r="D505" s="640" t="s">
        <v>20</v>
      </c>
      <c r="E505" s="592"/>
      <c r="F505" s="592"/>
      <c r="G505" s="595"/>
      <c r="H505" s="161" t="s">
        <v>12</v>
      </c>
      <c r="I505" s="162"/>
      <c r="J505" s="162"/>
      <c r="K505" s="163"/>
      <c r="L505" s="44">
        <f t="shared" ref="L505:N505" si="254">L506+L507</f>
        <v>0</v>
      </c>
      <c r="M505" s="44">
        <f t="shared" si="254"/>
        <v>0</v>
      </c>
      <c r="N505" s="44">
        <f t="shared" si="254"/>
        <v>0</v>
      </c>
      <c r="O505" s="44">
        <f t="shared" si="250"/>
        <v>0</v>
      </c>
      <c r="P505" s="44">
        <f t="shared" si="251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20.25" hidden="1" customHeight="1">
      <c r="A506" s="591"/>
      <c r="B506" s="597"/>
      <c r="C506" s="592"/>
      <c r="D506" s="593"/>
      <c r="E506" s="594" t="s">
        <v>184</v>
      </c>
      <c r="F506" s="592"/>
      <c r="G506" s="595"/>
      <c r="H506" s="161" t="s">
        <v>12</v>
      </c>
      <c r="I506" s="43"/>
      <c r="J506" s="43"/>
      <c r="K506" s="44"/>
      <c r="L506" s="90">
        <v>0</v>
      </c>
      <c r="M506" s="90">
        <v>0</v>
      </c>
      <c r="N506" s="90">
        <v>0</v>
      </c>
      <c r="O506" s="44">
        <f t="shared" si="250"/>
        <v>0</v>
      </c>
      <c r="P506" s="44">
        <f t="shared" si="251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20.25" hidden="1" customHeight="1">
      <c r="A507" s="591"/>
      <c r="B507" s="597"/>
      <c r="C507" s="592"/>
      <c r="D507" s="593"/>
      <c r="E507" s="594" t="s">
        <v>185</v>
      </c>
      <c r="F507" s="592"/>
      <c r="G507" s="595"/>
      <c r="H507" s="161" t="s">
        <v>12</v>
      </c>
      <c r="I507" s="43"/>
      <c r="J507" s="43"/>
      <c r="K507" s="44"/>
      <c r="L507" s="90">
        <v>0</v>
      </c>
      <c r="M507" s="90">
        <v>0</v>
      </c>
      <c r="N507" s="44">
        <f>N508+N509+N510+N511</f>
        <v>0</v>
      </c>
      <c r="O507" s="44">
        <f t="shared" si="250"/>
        <v>0</v>
      </c>
      <c r="P507" s="44">
        <f t="shared" si="251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20.25" hidden="1" customHeight="1">
      <c r="A508" s="641"/>
      <c r="B508" s="597"/>
      <c r="C508" s="592"/>
      <c r="D508" s="592"/>
      <c r="E508" s="592"/>
      <c r="F508" s="594" t="s">
        <v>186</v>
      </c>
      <c r="G508" s="595"/>
      <c r="H508" s="161" t="s">
        <v>12</v>
      </c>
      <c r="I508" s="43"/>
      <c r="J508" s="43"/>
      <c r="K508" s="44"/>
      <c r="L508" s="44"/>
      <c r="M508" s="44"/>
      <c r="N508" s="90">
        <v>0</v>
      </c>
      <c r="O508" s="44"/>
      <c r="P508" s="44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20.25" hidden="1" customHeight="1">
      <c r="A509" s="641"/>
      <c r="B509" s="597"/>
      <c r="C509" s="592"/>
      <c r="D509" s="592"/>
      <c r="E509" s="592"/>
      <c r="F509" s="594" t="s">
        <v>187</v>
      </c>
      <c r="G509" s="595"/>
      <c r="H509" s="161" t="s">
        <v>12</v>
      </c>
      <c r="I509" s="43"/>
      <c r="J509" s="43"/>
      <c r="K509" s="44"/>
      <c r="L509" s="44"/>
      <c r="M509" s="44"/>
      <c r="N509" s="90">
        <v>0</v>
      </c>
      <c r="O509" s="44"/>
      <c r="P509" s="44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20.25" hidden="1" customHeight="1">
      <c r="A510" s="641"/>
      <c r="B510" s="597"/>
      <c r="C510" s="597"/>
      <c r="D510" s="597"/>
      <c r="E510" s="592"/>
      <c r="F510" s="594" t="s">
        <v>188</v>
      </c>
      <c r="G510" s="595"/>
      <c r="H510" s="161" t="s">
        <v>12</v>
      </c>
      <c r="I510" s="43"/>
      <c r="J510" s="43"/>
      <c r="K510" s="44"/>
      <c r="L510" s="44"/>
      <c r="M510" s="44"/>
      <c r="N510" s="90">
        <v>0</v>
      </c>
      <c r="O510" s="44"/>
      <c r="P510" s="44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20.25" hidden="1" customHeight="1">
      <c r="A511" s="641"/>
      <c r="B511" s="597"/>
      <c r="C511" s="597"/>
      <c r="D511" s="597"/>
      <c r="E511" s="592"/>
      <c r="F511" s="594" t="s">
        <v>189</v>
      </c>
      <c r="G511" s="595"/>
      <c r="H511" s="161" t="s">
        <v>12</v>
      </c>
      <c r="I511" s="43"/>
      <c r="J511" s="43"/>
      <c r="K511" s="44"/>
      <c r="L511" s="44"/>
      <c r="M511" s="44"/>
      <c r="N511" s="90">
        <v>0</v>
      </c>
      <c r="O511" s="44"/>
      <c r="P511" s="44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20.25" hidden="1" customHeight="1">
      <c r="A512" s="591"/>
      <c r="B512" s="597"/>
      <c r="C512" s="597"/>
      <c r="D512" s="640" t="s">
        <v>21</v>
      </c>
      <c r="E512" s="597"/>
      <c r="F512" s="592"/>
      <c r="G512" s="595"/>
      <c r="H512" s="165" t="s">
        <v>12</v>
      </c>
      <c r="I512" s="162"/>
      <c r="J512" s="162"/>
      <c r="K512" s="163"/>
      <c r="L512" s="44">
        <f t="shared" ref="L512:N512" si="255">L513+L514</f>
        <v>0</v>
      </c>
      <c r="M512" s="44">
        <f t="shared" si="255"/>
        <v>0</v>
      </c>
      <c r="N512" s="44">
        <f t="shared" si="255"/>
        <v>0</v>
      </c>
      <c r="O512" s="44">
        <f t="shared" ref="O512:O514" si="256">IF(L512&gt;0,N512*100/L512,0)</f>
        <v>0</v>
      </c>
      <c r="P512" s="44">
        <f t="shared" ref="P512:P514" si="257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20.25" hidden="1" customHeight="1">
      <c r="A513" s="591"/>
      <c r="B513" s="597"/>
      <c r="C513" s="597"/>
      <c r="D513" s="597"/>
      <c r="E513" s="599" t="s">
        <v>18</v>
      </c>
      <c r="F513" s="592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44">
        <f t="shared" si="256"/>
        <v>0</v>
      </c>
      <c r="P513" s="44">
        <f t="shared" si="257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20.25" hidden="1" customHeight="1">
      <c r="A514" s="591"/>
      <c r="B514" s="597"/>
      <c r="C514" s="597"/>
      <c r="D514" s="592"/>
      <c r="E514" s="599" t="s">
        <v>19</v>
      </c>
      <c r="F514" s="592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44">
        <f t="shared" si="256"/>
        <v>0</v>
      </c>
      <c r="P514" s="44">
        <f t="shared" si="257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20.25" hidden="1" customHeight="1">
      <c r="A515" s="606"/>
      <c r="B515" s="607"/>
      <c r="C515" s="597" t="s">
        <v>16</v>
      </c>
      <c r="D515" s="642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20.25" hidden="1" customHeight="1">
      <c r="A516" s="606"/>
      <c r="B516" s="607"/>
      <c r="C516" s="607"/>
      <c r="D516" s="608" t="s">
        <v>221</v>
      </c>
      <c r="E516" s="593"/>
      <c r="F516" s="593"/>
      <c r="G516" s="361"/>
      <c r="H516" s="645" t="s">
        <v>109</v>
      </c>
      <c r="I516" s="43"/>
      <c r="J516" s="609">
        <v>0</v>
      </c>
      <c r="K516" s="163">
        <f t="shared" ref="K516:K517" si="258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20.25" hidden="1" customHeight="1">
      <c r="A517" s="606"/>
      <c r="B517" s="607"/>
      <c r="C517" s="607"/>
      <c r="D517" s="608" t="s">
        <v>222</v>
      </c>
      <c r="E517" s="593"/>
      <c r="F517" s="593"/>
      <c r="G517" s="361"/>
      <c r="H517" s="646" t="s">
        <v>35</v>
      </c>
      <c r="I517" s="647"/>
      <c r="J517" s="647">
        <f>J518+J519</f>
        <v>0</v>
      </c>
      <c r="K517" s="648">
        <f t="shared" si="258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20.25" hidden="1" customHeight="1">
      <c r="A518" s="606"/>
      <c r="B518" s="607"/>
      <c r="C518" s="607"/>
      <c r="D518" s="607"/>
      <c r="E518" s="608" t="s">
        <v>223</v>
      </c>
      <c r="F518" s="593"/>
      <c r="G518" s="361"/>
      <c r="H518" s="365" t="s">
        <v>35</v>
      </c>
      <c r="I518" s="43"/>
      <c r="J518" s="43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20.25" hidden="1" customHeight="1">
      <c r="A519" s="606"/>
      <c r="B519" s="607"/>
      <c r="C519" s="607"/>
      <c r="D519" s="607"/>
      <c r="E519" s="608" t="s">
        <v>224</v>
      </c>
      <c r="F519" s="593"/>
      <c r="G519" s="361"/>
      <c r="H519" s="645" t="s">
        <v>35</v>
      </c>
      <c r="I519" s="43"/>
      <c r="J519" s="43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20.25" customHeight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20.25" customHeight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20.25" customHeight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68">
        <f t="shared" ref="I522:J522" ca="1" si="259">I537</f>
        <v>150</v>
      </c>
      <c r="J522" s="668">
        <f t="shared" ca="1" si="259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20.25" customHeight="1">
      <c r="A523" s="589"/>
      <c r="B523" s="568"/>
      <c r="C523" s="568" t="s">
        <v>16</v>
      </c>
      <c r="D523" s="845" t="s">
        <v>17</v>
      </c>
      <c r="E523" s="846"/>
      <c r="F523" s="846"/>
      <c r="G523" s="185"/>
      <c r="H523" s="590" t="s">
        <v>12</v>
      </c>
      <c r="I523" s="36"/>
      <c r="J523" s="36"/>
      <c r="K523" s="37"/>
      <c r="L523" s="191">
        <f t="shared" ref="L523:N523" ca="1" si="260">L524+L525</f>
        <v>1282380</v>
      </c>
      <c r="M523" s="191">
        <f t="shared" si="260"/>
        <v>0</v>
      </c>
      <c r="N523" s="191">
        <f t="shared" ca="1" si="260"/>
        <v>0</v>
      </c>
      <c r="O523" s="191">
        <f t="shared" ref="O523:O528" ca="1" si="261">IF(L523&gt;0,N523*100/L523,0)</f>
        <v>0</v>
      </c>
      <c r="P523" s="191">
        <f t="shared" ref="P523:P528" si="262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20.25" hidden="1" customHeight="1">
      <c r="A524" s="591"/>
      <c r="B524" s="592"/>
      <c r="C524" s="592"/>
      <c r="D524" s="593"/>
      <c r="E524" s="594" t="s">
        <v>184</v>
      </c>
      <c r="F524" s="592"/>
      <c r="G524" s="595"/>
      <c r="H524" s="161" t="s">
        <v>12</v>
      </c>
      <c r="I524" s="43"/>
      <c r="J524" s="43"/>
      <c r="K524" s="44"/>
      <c r="L524" s="44">
        <f t="shared" ref="L524:N524" si="263">L527+L534</f>
        <v>0</v>
      </c>
      <c r="M524" s="44">
        <f t="shared" si="263"/>
        <v>0</v>
      </c>
      <c r="N524" s="44">
        <f t="shared" si="263"/>
        <v>0</v>
      </c>
      <c r="O524" s="44">
        <f t="shared" si="261"/>
        <v>0</v>
      </c>
      <c r="P524" s="44">
        <f t="shared" si="262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20.25" hidden="1" customHeight="1">
      <c r="A525" s="591"/>
      <c r="B525" s="597"/>
      <c r="C525" s="592"/>
      <c r="D525" s="593"/>
      <c r="E525" s="594" t="s">
        <v>185</v>
      </c>
      <c r="F525" s="592"/>
      <c r="G525" s="595"/>
      <c r="H525" s="161" t="s">
        <v>12</v>
      </c>
      <c r="I525" s="43"/>
      <c r="J525" s="43"/>
      <c r="K525" s="44"/>
      <c r="L525" s="44">
        <f t="shared" ref="L525:N525" ca="1" si="264">L528+L535</f>
        <v>1282380</v>
      </c>
      <c r="M525" s="44">
        <f t="shared" si="264"/>
        <v>0</v>
      </c>
      <c r="N525" s="44">
        <f t="shared" ca="1" si="264"/>
        <v>0</v>
      </c>
      <c r="O525" s="44">
        <f t="shared" ca="1" si="261"/>
        <v>0</v>
      </c>
      <c r="P525" s="44">
        <f t="shared" si="262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20.25" customHeight="1">
      <c r="A526" s="589"/>
      <c r="B526" s="567"/>
      <c r="C526" s="568"/>
      <c r="D526" s="598" t="s">
        <v>20</v>
      </c>
      <c r="E526" s="568"/>
      <c r="F526" s="568"/>
      <c r="G526" s="185"/>
      <c r="H526" s="157" t="s">
        <v>12</v>
      </c>
      <c r="I526" s="158"/>
      <c r="J526" s="158"/>
      <c r="K526" s="159"/>
      <c r="L526" s="37">
        <f t="shared" ref="L526:N526" ca="1" si="265">L527+L528</f>
        <v>1282380</v>
      </c>
      <c r="M526" s="37">
        <f t="shared" si="265"/>
        <v>0</v>
      </c>
      <c r="N526" s="37">
        <f t="shared" ca="1" si="265"/>
        <v>0</v>
      </c>
      <c r="O526" s="37">
        <f t="shared" ca="1" si="261"/>
        <v>0</v>
      </c>
      <c r="P526" s="37">
        <f t="shared" si="262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20.25" hidden="1" customHeight="1">
      <c r="A527" s="591"/>
      <c r="B527" s="597"/>
      <c r="C527" s="592"/>
      <c r="D527" s="593"/>
      <c r="E527" s="594" t="s">
        <v>184</v>
      </c>
      <c r="F527" s="592"/>
      <c r="G527" s="595"/>
      <c r="H527" s="161" t="s">
        <v>12</v>
      </c>
      <c r="I527" s="43"/>
      <c r="J527" s="43"/>
      <c r="K527" s="44"/>
      <c r="L527" s="90">
        <v>0</v>
      </c>
      <c r="M527" s="90">
        <v>0</v>
      </c>
      <c r="N527" s="90">
        <v>0</v>
      </c>
      <c r="O527" s="44">
        <f t="shared" si="261"/>
        <v>0</v>
      </c>
      <c r="P527" s="44">
        <f t="shared" si="262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20.25" hidden="1" customHeight="1">
      <c r="A528" s="591"/>
      <c r="B528" s="597"/>
      <c r="C528" s="592"/>
      <c r="D528" s="593"/>
      <c r="E528" s="594" t="s">
        <v>185</v>
      </c>
      <c r="F528" s="592"/>
      <c r="G528" s="595"/>
      <c r="H528" s="161" t="s">
        <v>12</v>
      </c>
      <c r="I528" s="43"/>
      <c r="J528" s="43"/>
      <c r="K528" s="44"/>
      <c r="L528" s="44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0">
        <v>0</v>
      </c>
      <c r="N528" s="44">
        <f ca="1">N529+N530+N531+N532</f>
        <v>0</v>
      </c>
      <c r="O528" s="44">
        <f t="shared" ca="1" si="261"/>
        <v>0</v>
      </c>
      <c r="P528" s="44">
        <f t="shared" si="262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20.25" customHeight="1">
      <c r="A529" s="566"/>
      <c r="B529" s="567"/>
      <c r="C529" s="568"/>
      <c r="D529" s="568"/>
      <c r="E529" s="568"/>
      <c r="F529" s="569" t="s">
        <v>186</v>
      </c>
      <c r="G529" s="185"/>
      <c r="H529" s="157" t="s">
        <v>12</v>
      </c>
      <c r="I529" s="36"/>
      <c r="J529" s="36"/>
      <c r="K529" s="37"/>
      <c r="L529" s="37"/>
      <c r="M529" s="37"/>
      <c r="N529" s="278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"),0)</f>
        <v>0</v>
      </c>
      <c r="O529" s="37"/>
      <c r="P529" s="37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20.25" customHeight="1">
      <c r="A530" s="566"/>
      <c r="B530" s="567"/>
      <c r="C530" s="568"/>
      <c r="D530" s="568"/>
      <c r="E530" s="568"/>
      <c r="F530" s="569" t="s">
        <v>187</v>
      </c>
      <c r="G530" s="185"/>
      <c r="H530" s="157" t="s">
        <v>12</v>
      </c>
      <c r="I530" s="36"/>
      <c r="J530" s="36"/>
      <c r="K530" s="37"/>
      <c r="L530" s="37"/>
      <c r="M530" s="37"/>
      <c r="N530" s="278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"),0)</f>
        <v>0</v>
      </c>
      <c r="O530" s="37"/>
      <c r="P530" s="37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20.25" customHeight="1">
      <c r="A531" s="566"/>
      <c r="B531" s="567"/>
      <c r="C531" s="568"/>
      <c r="D531" s="568"/>
      <c r="E531" s="568"/>
      <c r="F531" s="569" t="s">
        <v>188</v>
      </c>
      <c r="G531" s="185"/>
      <c r="H531" s="157" t="s">
        <v>12</v>
      </c>
      <c r="I531" s="36"/>
      <c r="J531" s="36"/>
      <c r="K531" s="37"/>
      <c r="L531" s="37"/>
      <c r="M531" s="37"/>
      <c r="N531" s="278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7"/>
      <c r="P531" s="37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20.25" customHeight="1">
      <c r="A532" s="566"/>
      <c r="B532" s="567"/>
      <c r="C532" s="568"/>
      <c r="D532" s="568"/>
      <c r="E532" s="568"/>
      <c r="F532" s="569" t="s">
        <v>189</v>
      </c>
      <c r="G532" s="185"/>
      <c r="H532" s="157" t="s">
        <v>12</v>
      </c>
      <c r="I532" s="36"/>
      <c r="J532" s="36"/>
      <c r="K532" s="37"/>
      <c r="L532" s="37"/>
      <c r="M532" s="37"/>
      <c r="N532" s="278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"),0)</f>
        <v>0</v>
      </c>
      <c r="O532" s="37"/>
      <c r="P532" s="37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20.25" customHeight="1">
      <c r="A533" s="589"/>
      <c r="B533" s="567"/>
      <c r="C533" s="568"/>
      <c r="D533" s="598" t="s">
        <v>21</v>
      </c>
      <c r="E533" s="568"/>
      <c r="F533" s="568"/>
      <c r="G533" s="185"/>
      <c r="H533" s="164" t="s">
        <v>12</v>
      </c>
      <c r="I533" s="158"/>
      <c r="J533" s="158"/>
      <c r="K533" s="159"/>
      <c r="L533" s="37">
        <f t="shared" ref="L533:N533" ca="1" si="266">L534+L535</f>
        <v>0</v>
      </c>
      <c r="M533" s="37">
        <f t="shared" si="266"/>
        <v>0</v>
      </c>
      <c r="N533" s="37">
        <f t="shared" si="266"/>
        <v>0</v>
      </c>
      <c r="O533" s="37">
        <f t="shared" ref="O533:O535" ca="1" si="267">IF(L533&gt;0,N533*100/L533,0)</f>
        <v>0</v>
      </c>
      <c r="P533" s="37">
        <f t="shared" ref="P533:P535" si="268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20.25" hidden="1" customHeight="1">
      <c r="A534" s="591"/>
      <c r="B534" s="597"/>
      <c r="C534" s="592"/>
      <c r="D534" s="592"/>
      <c r="E534" s="594" t="s">
        <v>18</v>
      </c>
      <c r="F534" s="592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44">
        <f t="shared" si="267"/>
        <v>0</v>
      </c>
      <c r="P534" s="44">
        <f t="shared" si="268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20.25" hidden="1" customHeight="1">
      <c r="A535" s="591"/>
      <c r="B535" s="597"/>
      <c r="C535" s="592"/>
      <c r="D535" s="592"/>
      <c r="E535" s="594" t="s">
        <v>19</v>
      </c>
      <c r="F535" s="592"/>
      <c r="G535" s="595"/>
      <c r="H535" s="165" t="s">
        <v>12</v>
      </c>
      <c r="I535" s="162"/>
      <c r="J535" s="162"/>
      <c r="K535" s="163"/>
      <c r="L535" s="44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0">
        <v>0</v>
      </c>
      <c r="N535" s="90">
        <v>0</v>
      </c>
      <c r="O535" s="44">
        <f t="shared" ca="1" si="267"/>
        <v>0</v>
      </c>
      <c r="P535" s="44">
        <f t="shared" si="268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20.25" customHeight="1">
      <c r="A536" s="600"/>
      <c r="B536" s="601"/>
      <c r="C536" s="568" t="s">
        <v>16</v>
      </c>
      <c r="D536" s="671" t="s">
        <v>38</v>
      </c>
      <c r="E536" s="604"/>
      <c r="F536" s="604"/>
      <c r="G536" s="605"/>
      <c r="H536" s="171"/>
      <c r="I536" s="158"/>
      <c r="J536" s="158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20.25" customHeight="1">
      <c r="A537" s="566"/>
      <c r="B537" s="567"/>
      <c r="C537" s="568"/>
      <c r="D537" s="672" t="s">
        <v>227</v>
      </c>
      <c r="E537" s="568"/>
      <c r="F537" s="568"/>
      <c r="G537" s="185"/>
      <c r="H537" s="35" t="s">
        <v>35</v>
      </c>
      <c r="I537" s="673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0">
        <f ca="1">IF(AND(J538=I538,J539=I539,J540=I540,J541=I541),I537,0)</f>
        <v>0</v>
      </c>
      <c r="K537" s="37">
        <f t="shared" ref="K537:K543" ca="1" si="269">IF(I537&gt;0,J537*100/I537,0)</f>
        <v>0</v>
      </c>
      <c r="L537" s="37"/>
      <c r="M537" s="37"/>
      <c r="N537" s="37"/>
      <c r="O537" s="37"/>
      <c r="P537" s="37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20.25" customHeight="1">
      <c r="A538" s="566"/>
      <c r="B538" s="567"/>
      <c r="C538" s="568"/>
      <c r="D538" s="569"/>
      <c r="E538" s="675" t="s">
        <v>228</v>
      </c>
      <c r="F538" s="568"/>
      <c r="G538" s="185"/>
      <c r="H538" s="35" t="s">
        <v>35</v>
      </c>
      <c r="I538" s="264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79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"),0)</f>
        <v>0</v>
      </c>
      <c r="K538" s="37">
        <f t="shared" ca="1" si="269"/>
        <v>0</v>
      </c>
      <c r="L538" s="37"/>
      <c r="M538" s="37"/>
      <c r="N538" s="37"/>
      <c r="O538" s="37"/>
      <c r="P538" s="37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20.25" customHeight="1">
      <c r="A539" s="566"/>
      <c r="B539" s="567"/>
      <c r="C539" s="568"/>
      <c r="D539" s="569"/>
      <c r="E539" s="675" t="s">
        <v>229</v>
      </c>
      <c r="F539" s="568"/>
      <c r="G539" s="185"/>
      <c r="H539" s="35" t="s">
        <v>35</v>
      </c>
      <c r="I539" s="264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79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7">
        <f t="shared" ca="1" si="269"/>
        <v>0</v>
      </c>
      <c r="L539" s="37"/>
      <c r="M539" s="37"/>
      <c r="N539" s="37"/>
      <c r="O539" s="37"/>
      <c r="P539" s="37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20.25" customHeight="1">
      <c r="A540" s="566"/>
      <c r="B540" s="567"/>
      <c r="C540" s="568"/>
      <c r="D540" s="569"/>
      <c r="E540" s="675" t="s">
        <v>230</v>
      </c>
      <c r="F540" s="568"/>
      <c r="G540" s="185"/>
      <c r="H540" s="35" t="s">
        <v>35</v>
      </c>
      <c r="I540" s="264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79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7">
        <f t="shared" ca="1" si="269"/>
        <v>0</v>
      </c>
      <c r="L540" s="37"/>
      <c r="M540" s="37"/>
      <c r="N540" s="37"/>
      <c r="O540" s="37"/>
      <c r="P540" s="37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20.25" customHeight="1">
      <c r="A541" s="566"/>
      <c r="B541" s="567"/>
      <c r="C541" s="568"/>
      <c r="D541" s="569"/>
      <c r="E541" s="676" t="s">
        <v>231</v>
      </c>
      <c r="F541" s="568"/>
      <c r="G541" s="185"/>
      <c r="H541" s="35" t="s">
        <v>35</v>
      </c>
      <c r="I541" s="264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79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"),0)</f>
        <v>0</v>
      </c>
      <c r="K541" s="37">
        <f t="shared" ca="1" si="269"/>
        <v>0</v>
      </c>
      <c r="L541" s="37"/>
      <c r="M541" s="37"/>
      <c r="N541" s="37"/>
      <c r="O541" s="37"/>
      <c r="P541" s="37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20.25" customHeight="1">
      <c r="A542" s="566"/>
      <c r="B542" s="567"/>
      <c r="C542" s="568"/>
      <c r="D542" s="569" t="s">
        <v>59</v>
      </c>
      <c r="E542" s="568"/>
      <c r="F542" s="568"/>
      <c r="G542" s="185"/>
      <c r="H542" s="35" t="s">
        <v>35</v>
      </c>
      <c r="I542" s="36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79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"),0)</f>
        <v>0</v>
      </c>
      <c r="K542" s="37">
        <f t="shared" ca="1" si="269"/>
        <v>0</v>
      </c>
      <c r="L542" s="37"/>
      <c r="M542" s="37"/>
      <c r="N542" s="37"/>
      <c r="O542" s="37"/>
      <c r="P542" s="37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20.25" customHeight="1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70">I559</f>
        <v>249435</v>
      </c>
      <c r="J543" s="679">
        <f t="shared" ca="1" si="270"/>
        <v>0</v>
      </c>
      <c r="K543" s="680">
        <f t="shared" ca="1" si="269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20.25" customHeight="1">
      <c r="A544" s="681"/>
      <c r="B544" s="682"/>
      <c r="C544" s="682" t="s">
        <v>16</v>
      </c>
      <c r="D544" s="847" t="s">
        <v>17</v>
      </c>
      <c r="E544" s="848"/>
      <c r="F544" s="848"/>
      <c r="G544" s="683"/>
      <c r="H544" s="269" t="s">
        <v>12</v>
      </c>
      <c r="I544" s="149"/>
      <c r="J544" s="149"/>
      <c r="K544" s="150"/>
      <c r="L544" s="151">
        <f t="shared" ref="L544:N544" ca="1" si="271">L545+L546</f>
        <v>4859811</v>
      </c>
      <c r="M544" s="151">
        <f t="shared" si="271"/>
        <v>0</v>
      </c>
      <c r="N544" s="151">
        <f t="shared" ca="1" si="271"/>
        <v>202182.28999999992</v>
      </c>
      <c r="O544" s="151">
        <f t="shared" ref="O544:O549" ca="1" si="272">IF(L544&gt;0,N544*100/L544,0)</f>
        <v>4.1602912129710381</v>
      </c>
      <c r="P544" s="151">
        <f t="shared" ref="P544:P549" si="273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20.25" hidden="1" customHeight="1">
      <c r="A545" s="591"/>
      <c r="B545" s="592"/>
      <c r="C545" s="592"/>
      <c r="D545" s="592"/>
      <c r="E545" s="594" t="s">
        <v>184</v>
      </c>
      <c r="F545" s="592"/>
      <c r="G545" s="595"/>
      <c r="H545" s="161" t="s">
        <v>12</v>
      </c>
      <c r="I545" s="43"/>
      <c r="J545" s="43"/>
      <c r="K545" s="44"/>
      <c r="L545" s="44">
        <f t="shared" ref="L545:L546" si="274">L548+L556</f>
        <v>0</v>
      </c>
      <c r="M545" s="44">
        <f t="shared" ref="M545:N545" si="275">M548+M555</f>
        <v>0</v>
      </c>
      <c r="N545" s="44">
        <f t="shared" si="275"/>
        <v>0</v>
      </c>
      <c r="O545" s="44">
        <f t="shared" si="272"/>
        <v>0</v>
      </c>
      <c r="P545" s="44">
        <f t="shared" si="273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20.25" hidden="1" customHeight="1">
      <c r="A546" s="591"/>
      <c r="B546" s="597"/>
      <c r="C546" s="592"/>
      <c r="D546" s="592"/>
      <c r="E546" s="594" t="s">
        <v>185</v>
      </c>
      <c r="F546" s="592"/>
      <c r="G546" s="595"/>
      <c r="H546" s="161" t="s">
        <v>12</v>
      </c>
      <c r="I546" s="43"/>
      <c r="J546" s="43"/>
      <c r="K546" s="44"/>
      <c r="L546" s="44">
        <f t="shared" ca="1" si="274"/>
        <v>4859811</v>
      </c>
      <c r="M546" s="44">
        <f t="shared" ref="M546:N546" si="276">M549+M556</f>
        <v>0</v>
      </c>
      <c r="N546" s="44">
        <f t="shared" ca="1" si="276"/>
        <v>202182.28999999992</v>
      </c>
      <c r="O546" s="44">
        <f t="shared" ca="1" si="272"/>
        <v>4.1602912129710381</v>
      </c>
      <c r="P546" s="44">
        <f t="shared" si="273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20.25" customHeight="1">
      <c r="A547" s="589"/>
      <c r="B547" s="567"/>
      <c r="C547" s="568"/>
      <c r="D547" s="598" t="s">
        <v>20</v>
      </c>
      <c r="E547" s="568"/>
      <c r="F547" s="568"/>
      <c r="G547" s="185"/>
      <c r="H547" s="157" t="s">
        <v>12</v>
      </c>
      <c r="I547" s="158"/>
      <c r="J547" s="158"/>
      <c r="K547" s="159"/>
      <c r="L547" s="37">
        <f t="shared" ref="L547:N547" ca="1" si="277">L548+L549</f>
        <v>4859811</v>
      </c>
      <c r="M547" s="37">
        <f t="shared" si="277"/>
        <v>0</v>
      </c>
      <c r="N547" s="37">
        <f t="shared" ca="1" si="277"/>
        <v>202182.28999999992</v>
      </c>
      <c r="O547" s="37">
        <f t="shared" ca="1" si="272"/>
        <v>4.1602912129710381</v>
      </c>
      <c r="P547" s="37">
        <f t="shared" si="273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20.25" hidden="1" customHeight="1">
      <c r="A548" s="591"/>
      <c r="B548" s="597"/>
      <c r="C548" s="592"/>
      <c r="D548" s="593"/>
      <c r="E548" s="594" t="s">
        <v>184</v>
      </c>
      <c r="F548" s="592"/>
      <c r="G548" s="595"/>
      <c r="H548" s="161" t="s">
        <v>12</v>
      </c>
      <c r="I548" s="43"/>
      <c r="J548" s="43"/>
      <c r="K548" s="44"/>
      <c r="L548" s="90">
        <v>0</v>
      </c>
      <c r="M548" s="90">
        <v>0</v>
      </c>
      <c r="N548" s="90">
        <v>0</v>
      </c>
      <c r="O548" s="44">
        <f t="shared" si="272"/>
        <v>0</v>
      </c>
      <c r="P548" s="44">
        <f t="shared" si="273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20.25" hidden="1" customHeight="1">
      <c r="A549" s="591"/>
      <c r="B549" s="597"/>
      <c r="C549" s="592"/>
      <c r="D549" s="593"/>
      <c r="E549" s="594" t="s">
        <v>185</v>
      </c>
      <c r="F549" s="592"/>
      <c r="G549" s="595"/>
      <c r="H549" s="161" t="s">
        <v>12</v>
      </c>
      <c r="I549" s="43"/>
      <c r="J549" s="43"/>
      <c r="K549" s="44"/>
      <c r="L549" s="44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"),4859811)</f>
        <v>4859811</v>
      </c>
      <c r="M549" s="90">
        <v>0</v>
      </c>
      <c r="N549" s="44">
        <f ca="1">N550+N551+N552+N553+N554</f>
        <v>202182.28999999992</v>
      </c>
      <c r="O549" s="44">
        <f t="shared" ca="1" si="272"/>
        <v>4.1602912129710381</v>
      </c>
      <c r="P549" s="44">
        <f t="shared" si="273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20.25" customHeight="1">
      <c r="A550" s="566"/>
      <c r="B550" s="567"/>
      <c r="C550" s="568"/>
      <c r="D550" s="568"/>
      <c r="E550" s="568"/>
      <c r="F550" s="569" t="s">
        <v>186</v>
      </c>
      <c r="G550" s="185"/>
      <c r="H550" s="157" t="s">
        <v>12</v>
      </c>
      <c r="I550" s="36"/>
      <c r="J550" s="36"/>
      <c r="K550" s="37"/>
      <c r="L550" s="37"/>
      <c r="M550" s="37"/>
      <c r="N550" s="278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7"/>
      <c r="P550" s="37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20.25" customHeight="1">
      <c r="A551" s="566"/>
      <c r="B551" s="567"/>
      <c r="C551" s="567"/>
      <c r="D551" s="567"/>
      <c r="E551" s="568"/>
      <c r="F551" s="569" t="s">
        <v>187</v>
      </c>
      <c r="G551" s="185"/>
      <c r="H551" s="157" t="s">
        <v>12</v>
      </c>
      <c r="I551" s="36"/>
      <c r="J551" s="36"/>
      <c r="K551" s="37"/>
      <c r="L551" s="37"/>
      <c r="M551" s="37"/>
      <c r="N551" s="278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"),0)</f>
        <v>0</v>
      </c>
      <c r="O551" s="37"/>
      <c r="P551" s="37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20.25" customHeight="1">
      <c r="A552" s="566"/>
      <c r="B552" s="567"/>
      <c r="C552" s="568"/>
      <c r="D552" s="568"/>
      <c r="E552" s="568"/>
      <c r="F552" s="569" t="s">
        <v>188</v>
      </c>
      <c r="G552" s="185"/>
      <c r="H552" s="157" t="s">
        <v>12</v>
      </c>
      <c r="I552" s="36"/>
      <c r="J552" s="36"/>
      <c r="K552" s="37"/>
      <c r="L552" s="37"/>
      <c r="M552" s="37"/>
      <c r="N552" s="278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"),63699.9099999999)</f>
        <v>63699.909999999902</v>
      </c>
      <c r="O552" s="37"/>
      <c r="P552" s="37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20.25" customHeight="1">
      <c r="A553" s="566"/>
      <c r="B553" s="567"/>
      <c r="C553" s="567"/>
      <c r="D553" s="567"/>
      <c r="E553" s="568"/>
      <c r="F553" s="569" t="s">
        <v>189</v>
      </c>
      <c r="G553" s="185"/>
      <c r="H553" s="157" t="s">
        <v>12</v>
      </c>
      <c r="I553" s="36"/>
      <c r="J553" s="36"/>
      <c r="K553" s="37"/>
      <c r="L553" s="37"/>
      <c r="M553" s="37"/>
      <c r="N553" s="278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"),138482.38)</f>
        <v>138482.38</v>
      </c>
      <c r="O553" s="37"/>
      <c r="P553" s="37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20.25" customHeight="1">
      <c r="A554" s="566"/>
      <c r="B554" s="567"/>
      <c r="C554" s="567"/>
      <c r="D554" s="567"/>
      <c r="E554" s="568"/>
      <c r="F554" s="569" t="s">
        <v>233</v>
      </c>
      <c r="G554" s="185"/>
      <c r="H554" s="157" t="s">
        <v>12</v>
      </c>
      <c r="I554" s="36"/>
      <c r="J554" s="36"/>
      <c r="K554" s="37"/>
      <c r="L554" s="37"/>
      <c r="M554" s="37"/>
      <c r="N554" s="278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7"/>
      <c r="P554" s="37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20.25" customHeight="1">
      <c r="A555" s="589"/>
      <c r="B555" s="567"/>
      <c r="C555" s="567"/>
      <c r="D555" s="598" t="s">
        <v>21</v>
      </c>
      <c r="E555" s="568"/>
      <c r="F555" s="568"/>
      <c r="G555" s="185"/>
      <c r="H555" s="164" t="s">
        <v>12</v>
      </c>
      <c r="I555" s="158"/>
      <c r="J555" s="158"/>
      <c r="K555" s="159"/>
      <c r="L555" s="37">
        <f t="shared" ref="L555:N555" ca="1" si="278">L556+L557</f>
        <v>0</v>
      </c>
      <c r="M555" s="37">
        <f t="shared" si="278"/>
        <v>0</v>
      </c>
      <c r="N555" s="37">
        <f t="shared" si="278"/>
        <v>0</v>
      </c>
      <c r="O555" s="37">
        <f t="shared" ref="O555:O557" ca="1" si="279">IF(L555&gt;0,N555*100/L555,0)</f>
        <v>0</v>
      </c>
      <c r="P555" s="37">
        <f t="shared" ref="P555:P557" si="280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20.25" hidden="1" customHeight="1">
      <c r="A556" s="591"/>
      <c r="B556" s="597"/>
      <c r="C556" s="597"/>
      <c r="D556" s="592"/>
      <c r="E556" s="594" t="s">
        <v>18</v>
      </c>
      <c r="F556" s="592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44">
        <f t="shared" si="279"/>
        <v>0</v>
      </c>
      <c r="P556" s="44">
        <f t="shared" si="280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20.25" hidden="1" customHeight="1">
      <c r="A557" s="591"/>
      <c r="B557" s="597"/>
      <c r="C557" s="597"/>
      <c r="D557" s="592"/>
      <c r="E557" s="594" t="s">
        <v>19</v>
      </c>
      <c r="F557" s="592"/>
      <c r="G557" s="595"/>
      <c r="H557" s="165" t="s">
        <v>12</v>
      </c>
      <c r="I557" s="162"/>
      <c r="J557" s="162"/>
      <c r="K557" s="163"/>
      <c r="L557" s="44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0">
        <v>0</v>
      </c>
      <c r="N557" s="90">
        <v>0</v>
      </c>
      <c r="O557" s="44">
        <f t="shared" ca="1" si="279"/>
        <v>0</v>
      </c>
      <c r="P557" s="44">
        <f t="shared" si="280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20.25" customHeight="1">
      <c r="A558" s="600"/>
      <c r="B558" s="601"/>
      <c r="C558" s="567" t="s">
        <v>16</v>
      </c>
      <c r="D558" s="671" t="s">
        <v>38</v>
      </c>
      <c r="E558" s="604"/>
      <c r="F558" s="604"/>
      <c r="G558" s="605"/>
      <c r="H558" s="171"/>
      <c r="I558" s="158"/>
      <c r="J558" s="158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20.25" customHeight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68">
        <f t="shared" ref="I559:J559" ca="1" si="281">I576</f>
        <v>249435</v>
      </c>
      <c r="J559" s="668">
        <f t="shared" ca="1" si="281"/>
        <v>0</v>
      </c>
      <c r="K559" s="669">
        <f t="shared" ref="K559:K561" ca="1" si="282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20.25" customHeight="1">
      <c r="A560" s="600"/>
      <c r="B560" s="601"/>
      <c r="C560" s="614" t="s">
        <v>235</v>
      </c>
      <c r="D560" s="601"/>
      <c r="E560" s="611"/>
      <c r="F560" s="611"/>
      <c r="G560" s="171"/>
      <c r="H560" s="188" t="s">
        <v>46</v>
      </c>
      <c r="I560" s="189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"),249435)</f>
        <v>249435</v>
      </c>
      <c r="J560" s="189">
        <f t="shared" ref="J560:J561" ca="1" si="283">J562+J564+J566</f>
        <v>18118</v>
      </c>
      <c r="K560" s="409">
        <f t="shared" ca="1" si="282"/>
        <v>7.2636157716439156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20.25" customHeight="1">
      <c r="A561" s="600"/>
      <c r="B561" s="601"/>
      <c r="C561" s="601"/>
      <c r="D561" s="611"/>
      <c r="E561" s="611"/>
      <c r="F561" s="611"/>
      <c r="G561" s="171"/>
      <c r="H561" s="188" t="s">
        <v>34</v>
      </c>
      <c r="I561" s="189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"),20030)</f>
        <v>20030</v>
      </c>
      <c r="J561" s="189">
        <f t="shared" ca="1" si="283"/>
        <v>1162</v>
      </c>
      <c r="K561" s="409">
        <f t="shared" ca="1" si="282"/>
        <v>5.8012980529206191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20.25" customHeight="1">
      <c r="A562" s="600"/>
      <c r="B562" s="601"/>
      <c r="C562" s="601"/>
      <c r="D562" s="183" t="s">
        <v>236</v>
      </c>
      <c r="E562" s="611"/>
      <c r="F562" s="611"/>
      <c r="G562" s="171"/>
      <c r="H562" s="178" t="s">
        <v>46</v>
      </c>
      <c r="I562" s="158"/>
      <c r="J562" s="179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"),12704)</f>
        <v>12704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20.25" customHeight="1">
      <c r="A563" s="600"/>
      <c r="B563" s="601"/>
      <c r="C563" s="601"/>
      <c r="D563" s="601"/>
      <c r="E563" s="611"/>
      <c r="F563" s="611"/>
      <c r="G563" s="171"/>
      <c r="H563" s="178" t="s">
        <v>34</v>
      </c>
      <c r="I563" s="158"/>
      <c r="J563" s="179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"),895)</f>
        <v>895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20.25" customHeight="1">
      <c r="A564" s="600"/>
      <c r="B564" s="601"/>
      <c r="C564" s="601"/>
      <c r="D564" s="183" t="s">
        <v>237</v>
      </c>
      <c r="E564" s="611"/>
      <c r="F564" s="611"/>
      <c r="G564" s="171"/>
      <c r="H564" s="178" t="s">
        <v>46</v>
      </c>
      <c r="I564" s="158"/>
      <c r="J564" s="179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"),4966)</f>
        <v>4966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20.25" customHeight="1">
      <c r="A565" s="600"/>
      <c r="B565" s="601"/>
      <c r="C565" s="601"/>
      <c r="D565" s="611"/>
      <c r="E565" s="611"/>
      <c r="F565" s="611"/>
      <c r="G565" s="171"/>
      <c r="H565" s="178" t="s">
        <v>34</v>
      </c>
      <c r="I565" s="158"/>
      <c r="J565" s="179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"),228)</f>
        <v>228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20.25" customHeight="1">
      <c r="A566" s="600"/>
      <c r="B566" s="601"/>
      <c r="C566" s="601"/>
      <c r="D566" s="183" t="s">
        <v>238</v>
      </c>
      <c r="E566" s="611"/>
      <c r="F566" s="611"/>
      <c r="G566" s="171"/>
      <c r="H566" s="178" t="s">
        <v>46</v>
      </c>
      <c r="I566" s="158"/>
      <c r="J566" s="179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"),448)</f>
        <v>448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20.25" customHeight="1">
      <c r="A567" s="600"/>
      <c r="B567" s="601"/>
      <c r="C567" s="601"/>
      <c r="D567" s="611"/>
      <c r="E567" s="611"/>
      <c r="F567" s="611"/>
      <c r="G567" s="171"/>
      <c r="H567" s="178" t="s">
        <v>34</v>
      </c>
      <c r="I567" s="158"/>
      <c r="J567" s="179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"),39)</f>
        <v>39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20.25" customHeight="1">
      <c r="A568" s="600"/>
      <c r="B568" s="601"/>
      <c r="C568" s="614" t="s">
        <v>239</v>
      </c>
      <c r="D568" s="611"/>
      <c r="E568" s="611"/>
      <c r="F568" s="611"/>
      <c r="G568" s="171"/>
      <c r="H568" s="188" t="s">
        <v>46</v>
      </c>
      <c r="I568" s="189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"),249435)</f>
        <v>249435</v>
      </c>
      <c r="J568" s="190">
        <f t="shared" ref="J568:J569" ca="1" si="284">J570+J572+J574</f>
        <v>0</v>
      </c>
      <c r="K568" s="409">
        <f t="shared" ref="K568:K569" ca="1" si="285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20.25" customHeight="1">
      <c r="A569" s="600"/>
      <c r="B569" s="601"/>
      <c r="C569" s="601"/>
      <c r="D569" s="601"/>
      <c r="E569" s="611"/>
      <c r="F569" s="611"/>
      <c r="G569" s="171"/>
      <c r="H569" s="188" t="s">
        <v>34</v>
      </c>
      <c r="I569" s="189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"),20030)</f>
        <v>20030</v>
      </c>
      <c r="J569" s="190">
        <f t="shared" ca="1" si="284"/>
        <v>0</v>
      </c>
      <c r="K569" s="409">
        <f t="shared" ca="1" si="285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20.25" customHeight="1">
      <c r="A570" s="600"/>
      <c r="B570" s="601"/>
      <c r="C570" s="601"/>
      <c r="D570" s="183" t="s">
        <v>240</v>
      </c>
      <c r="E570" s="601"/>
      <c r="F570" s="611"/>
      <c r="G570" s="171"/>
      <c r="H570" s="178" t="s">
        <v>46</v>
      </c>
      <c r="I570" s="158"/>
      <c r="J570" s="179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"),0)</f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20.25" customHeight="1">
      <c r="A571" s="600"/>
      <c r="B571" s="601"/>
      <c r="C571" s="601"/>
      <c r="D571" s="601"/>
      <c r="E571" s="611"/>
      <c r="F571" s="611"/>
      <c r="G571" s="171"/>
      <c r="H571" s="178" t="s">
        <v>34</v>
      </c>
      <c r="I571" s="158"/>
      <c r="J571" s="179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"),0)</f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20.25" customHeight="1">
      <c r="A572" s="600"/>
      <c r="B572" s="601"/>
      <c r="C572" s="601"/>
      <c r="D572" s="183" t="s">
        <v>241</v>
      </c>
      <c r="E572" s="611"/>
      <c r="F572" s="611"/>
      <c r="G572" s="171"/>
      <c r="H572" s="178" t="s">
        <v>46</v>
      </c>
      <c r="I572" s="158"/>
      <c r="J572" s="179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"),0)</f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20.25" customHeight="1">
      <c r="A573" s="600"/>
      <c r="B573" s="601"/>
      <c r="C573" s="601"/>
      <c r="D573" s="611"/>
      <c r="E573" s="611"/>
      <c r="F573" s="611"/>
      <c r="G573" s="171"/>
      <c r="H573" s="178" t="s">
        <v>34</v>
      </c>
      <c r="I573" s="158"/>
      <c r="J573" s="179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"),0)</f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20.25" customHeight="1">
      <c r="A574" s="600"/>
      <c r="B574" s="601"/>
      <c r="C574" s="601"/>
      <c r="D574" s="183" t="s">
        <v>242</v>
      </c>
      <c r="E574" s="611"/>
      <c r="F574" s="611"/>
      <c r="G574" s="171"/>
      <c r="H574" s="178" t="s">
        <v>46</v>
      </c>
      <c r="I574" s="158"/>
      <c r="J574" s="179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"),0)</f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20.25" customHeight="1">
      <c r="A575" s="600"/>
      <c r="B575" s="601"/>
      <c r="C575" s="601"/>
      <c r="D575" s="601"/>
      <c r="E575" s="611"/>
      <c r="F575" s="611"/>
      <c r="G575" s="171"/>
      <c r="H575" s="178" t="s">
        <v>34</v>
      </c>
      <c r="I575" s="158"/>
      <c r="J575" s="179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"),0)</f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20.25" customHeight="1">
      <c r="A576" s="600"/>
      <c r="B576" s="601"/>
      <c r="C576" s="614" t="s">
        <v>243</v>
      </c>
      <c r="D576" s="601"/>
      <c r="E576" s="601"/>
      <c r="F576" s="611"/>
      <c r="G576" s="171"/>
      <c r="H576" s="188" t="s">
        <v>46</v>
      </c>
      <c r="I576" s="189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"),249435)</f>
        <v>249435</v>
      </c>
      <c r="J576" s="190">
        <f t="shared" ref="J576:J577" ca="1" si="286">J578+J580+J582+J588+J590</f>
        <v>0</v>
      </c>
      <c r="K576" s="409">
        <f t="shared" ref="K576:K577" ca="1" si="287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20.25" customHeight="1">
      <c r="A577" s="600"/>
      <c r="B577" s="601"/>
      <c r="C577" s="601"/>
      <c r="D577" s="601"/>
      <c r="E577" s="611"/>
      <c r="F577" s="611"/>
      <c r="G577" s="171"/>
      <c r="H577" s="188" t="s">
        <v>34</v>
      </c>
      <c r="I577" s="189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"),20030)</f>
        <v>20030</v>
      </c>
      <c r="J577" s="190">
        <f t="shared" ca="1" si="286"/>
        <v>0</v>
      </c>
      <c r="K577" s="409">
        <f t="shared" ca="1" si="287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20.25" customHeight="1">
      <c r="A578" s="600"/>
      <c r="B578" s="601"/>
      <c r="C578" s="601"/>
      <c r="D578" s="183" t="s">
        <v>244</v>
      </c>
      <c r="E578" s="611"/>
      <c r="F578" s="611"/>
      <c r="G578" s="171"/>
      <c r="H578" s="178" t="s">
        <v>46</v>
      </c>
      <c r="I578" s="158"/>
      <c r="J578" s="179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"),0)</f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20.25" customHeight="1">
      <c r="A579" s="600"/>
      <c r="B579" s="601"/>
      <c r="C579" s="601"/>
      <c r="D579" s="601"/>
      <c r="E579" s="611"/>
      <c r="F579" s="611"/>
      <c r="G579" s="171"/>
      <c r="H579" s="178" t="s">
        <v>34</v>
      </c>
      <c r="I579" s="158"/>
      <c r="J579" s="179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"),0)</f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20.25" customHeight="1">
      <c r="A580" s="600"/>
      <c r="B580" s="601"/>
      <c r="C580" s="601"/>
      <c r="D580" s="183" t="s">
        <v>245</v>
      </c>
      <c r="E580" s="611"/>
      <c r="F580" s="611"/>
      <c r="G580" s="171"/>
      <c r="H580" s="178" t="s">
        <v>46</v>
      </c>
      <c r="I580" s="158"/>
      <c r="J580" s="179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"),0)</f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20.25" customHeight="1">
      <c r="A581" s="600"/>
      <c r="B581" s="601"/>
      <c r="C581" s="601"/>
      <c r="D581" s="601"/>
      <c r="E581" s="611"/>
      <c r="F581" s="611"/>
      <c r="G581" s="171"/>
      <c r="H581" s="178" t="s">
        <v>34</v>
      </c>
      <c r="I581" s="158"/>
      <c r="J581" s="179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"),0)</f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20.25" customHeight="1">
      <c r="A582" s="600"/>
      <c r="B582" s="601"/>
      <c r="C582" s="601"/>
      <c r="D582" s="183" t="s">
        <v>246</v>
      </c>
      <c r="E582" s="611"/>
      <c r="F582" s="611"/>
      <c r="G582" s="171"/>
      <c r="H582" s="178" t="s">
        <v>46</v>
      </c>
      <c r="I582" s="158"/>
      <c r="J582" s="190">
        <f t="shared" ref="J582:J583" ca="1" si="288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20.25" customHeight="1">
      <c r="A583" s="600"/>
      <c r="B583" s="601"/>
      <c r="C583" s="601"/>
      <c r="D583" s="601"/>
      <c r="E583" s="611"/>
      <c r="F583" s="611"/>
      <c r="G583" s="171"/>
      <c r="H583" s="178" t="s">
        <v>34</v>
      </c>
      <c r="I583" s="158"/>
      <c r="J583" s="190">
        <f t="shared" ca="1" si="288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20.25" customHeight="1">
      <c r="A584" s="600"/>
      <c r="B584" s="601"/>
      <c r="C584" s="601"/>
      <c r="D584" s="601"/>
      <c r="E584" s="183" t="s">
        <v>247</v>
      </c>
      <c r="F584" s="611"/>
      <c r="G584" s="171"/>
      <c r="H584" s="178" t="s">
        <v>46</v>
      </c>
      <c r="I584" s="158"/>
      <c r="J584" s="179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"),0)</f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20.25" customHeight="1">
      <c r="A585" s="600"/>
      <c r="B585" s="601"/>
      <c r="C585" s="601"/>
      <c r="D585" s="601"/>
      <c r="E585" s="611"/>
      <c r="F585" s="611"/>
      <c r="G585" s="171"/>
      <c r="H585" s="178" t="s">
        <v>34</v>
      </c>
      <c r="I585" s="158"/>
      <c r="J585" s="179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"),0)</f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20.25" customHeight="1">
      <c r="A586" s="600"/>
      <c r="B586" s="601"/>
      <c r="C586" s="601"/>
      <c r="D586" s="601"/>
      <c r="E586" s="183" t="s">
        <v>248</v>
      </c>
      <c r="F586" s="611"/>
      <c r="G586" s="171"/>
      <c r="H586" s="178" t="s">
        <v>46</v>
      </c>
      <c r="I586" s="158"/>
      <c r="J586" s="179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"),0)</f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20.25" customHeight="1">
      <c r="A587" s="600"/>
      <c r="B587" s="601"/>
      <c r="C587" s="601"/>
      <c r="D587" s="601"/>
      <c r="E587" s="601"/>
      <c r="F587" s="611"/>
      <c r="G587" s="171"/>
      <c r="H587" s="178" t="s">
        <v>34</v>
      </c>
      <c r="I587" s="158"/>
      <c r="J587" s="179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"),0)</f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20.25" customHeight="1">
      <c r="A588" s="600"/>
      <c r="B588" s="601"/>
      <c r="C588" s="601"/>
      <c r="D588" s="183" t="s">
        <v>249</v>
      </c>
      <c r="E588" s="611"/>
      <c r="F588" s="611"/>
      <c r="G588" s="171"/>
      <c r="H588" s="178" t="s">
        <v>46</v>
      </c>
      <c r="I588" s="158"/>
      <c r="J588" s="179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20.25" customHeight="1">
      <c r="A589" s="600"/>
      <c r="B589" s="601"/>
      <c r="C589" s="601"/>
      <c r="D589" s="601"/>
      <c r="E589" s="601"/>
      <c r="F589" s="611"/>
      <c r="G589" s="171"/>
      <c r="H589" s="178" t="s">
        <v>34</v>
      </c>
      <c r="I589" s="158"/>
      <c r="J589" s="179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20.25" customHeight="1">
      <c r="A590" s="600"/>
      <c r="B590" s="601"/>
      <c r="C590" s="601"/>
      <c r="D590" s="183" t="s">
        <v>250</v>
      </c>
      <c r="E590" s="611"/>
      <c r="F590" s="611"/>
      <c r="G590" s="171"/>
      <c r="H590" s="178" t="s">
        <v>46</v>
      </c>
      <c r="I590" s="158"/>
      <c r="J590" s="179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20.25" customHeight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20.25" customHeight="1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68">
        <f t="shared" ref="I592:J592" ca="1" si="289">I593</f>
        <v>23153</v>
      </c>
      <c r="J592" s="668">
        <f t="shared" ca="1" si="289"/>
        <v>0</v>
      </c>
      <c r="K592" s="669">
        <f t="shared" ref="K592:K594" ca="1" si="290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20.25" customHeight="1">
      <c r="A593" s="600"/>
      <c r="B593" s="601"/>
      <c r="C593" s="614" t="s">
        <v>252</v>
      </c>
      <c r="D593" s="601"/>
      <c r="E593" s="601"/>
      <c r="F593" s="611"/>
      <c r="G593" s="171"/>
      <c r="H593" s="188" t="s">
        <v>46</v>
      </c>
      <c r="I593" s="189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"),23153)</f>
        <v>23153</v>
      </c>
      <c r="J593" s="189">
        <f t="shared" ref="J593:J594" ca="1" si="291">J595+J603+J609</f>
        <v>0</v>
      </c>
      <c r="K593" s="409">
        <f t="shared" ca="1" si="290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20.25" customHeight="1">
      <c r="A594" s="600"/>
      <c r="B594" s="601"/>
      <c r="C594" s="601"/>
      <c r="D594" s="601"/>
      <c r="E594" s="611"/>
      <c r="F594" s="611"/>
      <c r="G594" s="171"/>
      <c r="H594" s="188" t="s">
        <v>34</v>
      </c>
      <c r="I594" s="189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"),1783)</f>
        <v>1783</v>
      </c>
      <c r="J594" s="189">
        <f t="shared" ca="1" si="291"/>
        <v>0</v>
      </c>
      <c r="K594" s="409">
        <f t="shared" ca="1" si="290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20.25" customHeight="1">
      <c r="A595" s="600"/>
      <c r="B595" s="601"/>
      <c r="C595" s="610" t="s">
        <v>253</v>
      </c>
      <c r="D595" s="601"/>
      <c r="E595" s="601"/>
      <c r="F595" s="611"/>
      <c r="G595" s="171"/>
      <c r="H595" s="178" t="s">
        <v>46</v>
      </c>
      <c r="I595" s="158"/>
      <c r="J595" s="158">
        <f t="shared" ref="J595:J596" ca="1" si="292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20.25" customHeight="1">
      <c r="A596" s="600"/>
      <c r="B596" s="601"/>
      <c r="C596" s="601"/>
      <c r="D596" s="601"/>
      <c r="E596" s="611"/>
      <c r="F596" s="611"/>
      <c r="G596" s="171"/>
      <c r="H596" s="178" t="s">
        <v>34</v>
      </c>
      <c r="I596" s="158"/>
      <c r="J596" s="158">
        <f t="shared" ca="1" si="292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20.25" customHeight="1">
      <c r="A597" s="600"/>
      <c r="B597" s="601"/>
      <c r="C597" s="601"/>
      <c r="D597" s="257" t="s">
        <v>254</v>
      </c>
      <c r="E597" s="611"/>
      <c r="F597" s="611"/>
      <c r="G597" s="171"/>
      <c r="H597" s="178" t="s">
        <v>46</v>
      </c>
      <c r="I597" s="158"/>
      <c r="J597" s="179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"),0)</f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20.25" customHeight="1">
      <c r="A598" s="600"/>
      <c r="B598" s="601"/>
      <c r="C598" s="601"/>
      <c r="D598" s="601"/>
      <c r="E598" s="611"/>
      <c r="F598" s="611"/>
      <c r="G598" s="171"/>
      <c r="H598" s="178" t="s">
        <v>34</v>
      </c>
      <c r="I598" s="36"/>
      <c r="J598" s="179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"),0)</f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20.25" customHeight="1">
      <c r="A599" s="600"/>
      <c r="B599" s="601"/>
      <c r="C599" s="601"/>
      <c r="D599" s="257" t="s">
        <v>255</v>
      </c>
      <c r="E599" s="611"/>
      <c r="F599" s="611"/>
      <c r="G599" s="171"/>
      <c r="H599" s="178" t="s">
        <v>46</v>
      </c>
      <c r="I599" s="36"/>
      <c r="J599" s="179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"),0)</f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20.25" customHeight="1">
      <c r="A600" s="600"/>
      <c r="B600" s="601"/>
      <c r="C600" s="601"/>
      <c r="D600" s="601"/>
      <c r="E600" s="611"/>
      <c r="F600" s="611"/>
      <c r="G600" s="171"/>
      <c r="H600" s="178" t="s">
        <v>34</v>
      </c>
      <c r="I600" s="36"/>
      <c r="J600" s="179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"),0)</f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20.25" customHeight="1">
      <c r="A601" s="600"/>
      <c r="B601" s="601"/>
      <c r="C601" s="601"/>
      <c r="D601" s="257" t="s">
        <v>256</v>
      </c>
      <c r="E601" s="611"/>
      <c r="F601" s="611"/>
      <c r="G601" s="171"/>
      <c r="H601" s="178" t="s">
        <v>46</v>
      </c>
      <c r="I601" s="36"/>
      <c r="J601" s="179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"),0)</f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20.25" customHeight="1">
      <c r="A602" s="600"/>
      <c r="B602" s="601"/>
      <c r="C602" s="601"/>
      <c r="D602" s="601"/>
      <c r="E602" s="611"/>
      <c r="F602" s="611"/>
      <c r="G602" s="171"/>
      <c r="H602" s="178" t="s">
        <v>34</v>
      </c>
      <c r="I602" s="36"/>
      <c r="J602" s="179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"),0)</f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20.25" customHeight="1">
      <c r="A603" s="600"/>
      <c r="B603" s="601"/>
      <c r="C603" s="695" t="s">
        <v>257</v>
      </c>
      <c r="D603" s="601"/>
      <c r="E603" s="601"/>
      <c r="F603" s="611"/>
      <c r="G603" s="171"/>
      <c r="H603" s="178" t="s">
        <v>46</v>
      </c>
      <c r="I603" s="36"/>
      <c r="J603" s="36">
        <f t="shared" ref="J603:J604" ca="1" si="293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20.25" customHeight="1">
      <c r="A604" s="600"/>
      <c r="B604" s="601"/>
      <c r="C604" s="601"/>
      <c r="D604" s="601"/>
      <c r="E604" s="611"/>
      <c r="F604" s="611"/>
      <c r="G604" s="171"/>
      <c r="H604" s="178" t="s">
        <v>34</v>
      </c>
      <c r="I604" s="36"/>
      <c r="J604" s="36">
        <f t="shared" ca="1" si="293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20.25" customHeight="1">
      <c r="A605" s="600"/>
      <c r="B605" s="601"/>
      <c r="C605" s="601"/>
      <c r="D605" s="695" t="s">
        <v>258</v>
      </c>
      <c r="E605" s="611"/>
      <c r="F605" s="611"/>
      <c r="G605" s="171"/>
      <c r="H605" s="178" t="s">
        <v>46</v>
      </c>
      <c r="I605" s="36"/>
      <c r="J605" s="179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"),0)</f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20.25" customHeight="1">
      <c r="A606" s="600"/>
      <c r="B606" s="601"/>
      <c r="C606" s="601"/>
      <c r="D606" s="601"/>
      <c r="E606" s="601"/>
      <c r="F606" s="611"/>
      <c r="G606" s="171"/>
      <c r="H606" s="178" t="s">
        <v>34</v>
      </c>
      <c r="I606" s="36"/>
      <c r="J606" s="179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"),0)</f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20.25" customHeight="1">
      <c r="A607" s="600"/>
      <c r="B607" s="601"/>
      <c r="C607" s="601"/>
      <c r="D607" s="695" t="s">
        <v>259</v>
      </c>
      <c r="E607" s="601"/>
      <c r="F607" s="611"/>
      <c r="G607" s="171"/>
      <c r="H607" s="178" t="s">
        <v>46</v>
      </c>
      <c r="I607" s="36"/>
      <c r="J607" s="179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"),0)</f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20.25" customHeight="1">
      <c r="A608" s="600"/>
      <c r="B608" s="601"/>
      <c r="C608" s="601"/>
      <c r="D608" s="601"/>
      <c r="E608" s="611"/>
      <c r="F608" s="611"/>
      <c r="G608" s="171"/>
      <c r="H608" s="178" t="s">
        <v>34</v>
      </c>
      <c r="I608" s="36"/>
      <c r="J608" s="179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"),0)</f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20.25" customHeight="1">
      <c r="A609" s="600"/>
      <c r="B609" s="601"/>
      <c r="C609" s="610" t="s">
        <v>260</v>
      </c>
      <c r="D609" s="601"/>
      <c r="E609" s="601"/>
      <c r="F609" s="611"/>
      <c r="G609" s="171"/>
      <c r="H609" s="178" t="s">
        <v>46</v>
      </c>
      <c r="I609" s="36"/>
      <c r="J609" s="179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"),0)</f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20.25" customHeight="1">
      <c r="A610" s="600"/>
      <c r="B610" s="601"/>
      <c r="C610" s="601"/>
      <c r="D610" s="601"/>
      <c r="E610" s="611"/>
      <c r="F610" s="611"/>
      <c r="G610" s="171"/>
      <c r="H610" s="178" t="s">
        <v>34</v>
      </c>
      <c r="I610" s="36"/>
      <c r="J610" s="179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"),0)</f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20.25" customHeight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68">
        <f>J614+J616</f>
        <v>0</v>
      </c>
      <c r="K611" s="669">
        <f t="shared" ref="K611:K613" si="294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20.25" hidden="1" customHeight="1">
      <c r="A612" s="699"/>
      <c r="B612" s="700"/>
      <c r="C612" s="701" t="s">
        <v>262</v>
      </c>
      <c r="D612" s="700"/>
      <c r="E612" s="700"/>
      <c r="F612" s="702"/>
      <c r="G612" s="703"/>
      <c r="H612" s="704" t="s">
        <v>46</v>
      </c>
      <c r="I612" s="705">
        <v>0</v>
      </c>
      <c r="J612" s="706">
        <f t="shared" ref="J612:J613" si="295">J614+J616</f>
        <v>0</v>
      </c>
      <c r="K612" s="707">
        <f t="shared" si="294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20.25" hidden="1" customHeight="1">
      <c r="A613" s="699"/>
      <c r="B613" s="700"/>
      <c r="C613" s="709" t="s">
        <v>263</v>
      </c>
      <c r="D613" s="700"/>
      <c r="E613" s="700"/>
      <c r="F613" s="702"/>
      <c r="G613" s="703"/>
      <c r="H613" s="704" t="s">
        <v>34</v>
      </c>
      <c r="I613" s="705">
        <v>0</v>
      </c>
      <c r="J613" s="706">
        <f t="shared" si="295"/>
        <v>0</v>
      </c>
      <c r="K613" s="707">
        <f t="shared" si="294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20.25" hidden="1" customHeight="1">
      <c r="A614" s="606"/>
      <c r="B614" s="607"/>
      <c r="C614" s="607"/>
      <c r="D614" s="710" t="s">
        <v>264</v>
      </c>
      <c r="E614" s="607"/>
      <c r="F614" s="593"/>
      <c r="G614" s="361"/>
      <c r="H614" s="365" t="s">
        <v>46</v>
      </c>
      <c r="I614" s="43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20.25" hidden="1" customHeight="1">
      <c r="A615" s="606"/>
      <c r="B615" s="607"/>
      <c r="C615" s="607"/>
      <c r="D615" s="607"/>
      <c r="E615" s="607"/>
      <c r="F615" s="593"/>
      <c r="G615" s="361"/>
      <c r="H615" s="365" t="s">
        <v>34</v>
      </c>
      <c r="I615" s="43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20.25" hidden="1" customHeight="1">
      <c r="A616" s="606"/>
      <c r="B616" s="607"/>
      <c r="C616" s="607"/>
      <c r="D616" s="711" t="s">
        <v>264</v>
      </c>
      <c r="E616" s="593"/>
      <c r="F616" s="593"/>
      <c r="G616" s="361"/>
      <c r="H616" s="365" t="s">
        <v>46</v>
      </c>
      <c r="I616" s="43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20.25" hidden="1" customHeight="1">
      <c r="A617" s="606"/>
      <c r="B617" s="607"/>
      <c r="C617" s="607"/>
      <c r="D617" s="607"/>
      <c r="E617" s="593"/>
      <c r="F617" s="593"/>
      <c r="G617" s="361"/>
      <c r="H617" s="365" t="s">
        <v>34</v>
      </c>
      <c r="I617" s="43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20.25" hidden="1" customHeight="1">
      <c r="A618" s="606"/>
      <c r="B618" s="607"/>
      <c r="C618" s="607"/>
      <c r="D618" s="711" t="s">
        <v>265</v>
      </c>
      <c r="E618" s="593"/>
      <c r="F618" s="593"/>
      <c r="G618" s="361"/>
      <c r="H618" s="365" t="s">
        <v>46</v>
      </c>
      <c r="I618" s="43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20.25" hidden="1" customHeight="1">
      <c r="A619" s="606"/>
      <c r="B619" s="607"/>
      <c r="C619" s="607"/>
      <c r="D619" s="607"/>
      <c r="E619" s="593"/>
      <c r="F619" s="593"/>
      <c r="G619" s="361"/>
      <c r="H619" s="365" t="s">
        <v>34</v>
      </c>
      <c r="I619" s="43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20.25" customHeight="1">
      <c r="A620" s="712"/>
      <c r="B620" s="713"/>
      <c r="C620" s="714" t="s">
        <v>266</v>
      </c>
      <c r="D620" s="713"/>
      <c r="E620" s="713"/>
      <c r="F620" s="715"/>
      <c r="G620" s="716"/>
      <c r="H620" s="717" t="s">
        <v>46</v>
      </c>
      <c r="I620" s="718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"),0)</f>
        <v>0</v>
      </c>
      <c r="J620" s="718">
        <f t="shared" ref="J620:J621" ca="1" si="296">J622+J624+J626</f>
        <v>0</v>
      </c>
      <c r="K620" s="719">
        <f t="shared" ref="K620:K621" ca="1" si="297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20.25" customHeight="1">
      <c r="A621" s="712"/>
      <c r="B621" s="713"/>
      <c r="C621" s="721" t="s">
        <v>267</v>
      </c>
      <c r="D621" s="713"/>
      <c r="E621" s="713"/>
      <c r="F621" s="715"/>
      <c r="G621" s="716"/>
      <c r="H621" s="717" t="s">
        <v>34</v>
      </c>
      <c r="I621" s="718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"),0)</f>
        <v>0</v>
      </c>
      <c r="J621" s="718">
        <f t="shared" ca="1" si="296"/>
        <v>0</v>
      </c>
      <c r="K621" s="719">
        <f t="shared" ca="1" si="297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20.25" customHeight="1">
      <c r="A622" s="600"/>
      <c r="B622" s="601"/>
      <c r="C622" s="601"/>
      <c r="D622" s="257" t="s">
        <v>268</v>
      </c>
      <c r="E622" s="611"/>
      <c r="F622" s="611"/>
      <c r="G622" s="171"/>
      <c r="H622" s="178" t="s">
        <v>46</v>
      </c>
      <c r="I622" s="36"/>
      <c r="J622" s="179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"),0)</f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20.25" customHeight="1">
      <c r="A623" s="600"/>
      <c r="B623" s="601"/>
      <c r="C623" s="601"/>
      <c r="D623" s="601"/>
      <c r="E623" s="611"/>
      <c r="F623" s="611"/>
      <c r="G623" s="171"/>
      <c r="H623" s="178" t="s">
        <v>34</v>
      </c>
      <c r="I623" s="36"/>
      <c r="J623" s="179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"),0)</f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20.25" customHeight="1">
      <c r="A624" s="600"/>
      <c r="B624" s="601"/>
      <c r="C624" s="601"/>
      <c r="D624" s="257" t="s">
        <v>264</v>
      </c>
      <c r="E624" s="611"/>
      <c r="F624" s="611"/>
      <c r="G624" s="171"/>
      <c r="H624" s="178" t="s">
        <v>46</v>
      </c>
      <c r="I624" s="36"/>
      <c r="J624" s="179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"),0)</f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20.25" customHeight="1">
      <c r="A625" s="600"/>
      <c r="B625" s="601"/>
      <c r="C625" s="601"/>
      <c r="D625" s="601"/>
      <c r="E625" s="611"/>
      <c r="F625" s="611"/>
      <c r="G625" s="171"/>
      <c r="H625" s="178" t="s">
        <v>34</v>
      </c>
      <c r="I625" s="36"/>
      <c r="J625" s="179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"),0)</f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20.25" customHeight="1">
      <c r="A626" s="600"/>
      <c r="B626" s="601"/>
      <c r="C626" s="601"/>
      <c r="D626" s="257" t="s">
        <v>269</v>
      </c>
      <c r="E626" s="611"/>
      <c r="F626" s="611"/>
      <c r="G626" s="171"/>
      <c r="H626" s="178" t="s">
        <v>46</v>
      </c>
      <c r="I626" s="36"/>
      <c r="J626" s="179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"),0)</f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20.25" customHeight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"),0)</f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20.25" customHeight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98">I651</f>
        <v>1465</v>
      </c>
      <c r="J628" s="731">
        <f t="shared" ca="1" si="298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20.25" customHeight="1">
      <c r="A629" s="589"/>
      <c r="B629" s="568"/>
      <c r="C629" s="568" t="s">
        <v>16</v>
      </c>
      <c r="D629" s="845" t="s">
        <v>17</v>
      </c>
      <c r="E629" s="846"/>
      <c r="F629" s="846"/>
      <c r="G629" s="185"/>
      <c r="H629" s="590" t="s">
        <v>12</v>
      </c>
      <c r="I629" s="36"/>
      <c r="J629" s="36"/>
      <c r="K629" s="37"/>
      <c r="L629" s="191">
        <f t="shared" ref="L629:N629" ca="1" si="299">L630+L631</f>
        <v>3807230</v>
      </c>
      <c r="M629" s="191">
        <f t="shared" si="299"/>
        <v>0</v>
      </c>
      <c r="N629" s="191">
        <f t="shared" ca="1" si="299"/>
        <v>102410.66</v>
      </c>
      <c r="O629" s="191">
        <f t="shared" ref="O629:O634" ca="1" si="300">IF(L629&gt;0,N629*100/L629,0)</f>
        <v>2.6898994807248315</v>
      </c>
      <c r="P629" s="191">
        <f t="shared" ref="P629:P634" si="301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20.25" hidden="1" customHeight="1">
      <c r="A630" s="591"/>
      <c r="B630" s="592"/>
      <c r="C630" s="592"/>
      <c r="D630" s="593"/>
      <c r="E630" s="594" t="s">
        <v>184</v>
      </c>
      <c r="F630" s="592"/>
      <c r="G630" s="595"/>
      <c r="H630" s="161" t="s">
        <v>12</v>
      </c>
      <c r="I630" s="43"/>
      <c r="J630" s="43"/>
      <c r="K630" s="44"/>
      <c r="L630" s="44">
        <f t="shared" ref="L630:N630" si="302">L633+L640</f>
        <v>0</v>
      </c>
      <c r="M630" s="44">
        <f t="shared" si="302"/>
        <v>0</v>
      </c>
      <c r="N630" s="44">
        <f t="shared" si="302"/>
        <v>0</v>
      </c>
      <c r="O630" s="44">
        <f t="shared" si="300"/>
        <v>0</v>
      </c>
      <c r="P630" s="44">
        <f t="shared" si="301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20.25" hidden="1" customHeight="1">
      <c r="A631" s="591"/>
      <c r="B631" s="597"/>
      <c r="C631" s="592"/>
      <c r="D631" s="593"/>
      <c r="E631" s="594" t="s">
        <v>185</v>
      </c>
      <c r="F631" s="592"/>
      <c r="G631" s="595"/>
      <c r="H631" s="161" t="s">
        <v>12</v>
      </c>
      <c r="I631" s="43"/>
      <c r="J631" s="43"/>
      <c r="K631" s="44"/>
      <c r="L631" s="44">
        <f t="shared" ref="L631:N631" ca="1" si="303">L634+L641</f>
        <v>3807230</v>
      </c>
      <c r="M631" s="44">
        <f t="shared" si="303"/>
        <v>0</v>
      </c>
      <c r="N631" s="44">
        <f t="shared" ca="1" si="303"/>
        <v>102410.66</v>
      </c>
      <c r="O631" s="44">
        <f t="shared" ca="1" si="300"/>
        <v>2.6898994807248315</v>
      </c>
      <c r="P631" s="44">
        <f t="shared" si="301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20.25" customHeight="1">
      <c r="A632" s="589"/>
      <c r="B632" s="567"/>
      <c r="C632" s="568"/>
      <c r="D632" s="598" t="s">
        <v>20</v>
      </c>
      <c r="E632" s="568"/>
      <c r="F632" s="568"/>
      <c r="G632" s="185"/>
      <c r="H632" s="157" t="s">
        <v>12</v>
      </c>
      <c r="I632" s="158"/>
      <c r="J632" s="158"/>
      <c r="K632" s="159"/>
      <c r="L632" s="37">
        <f t="shared" ref="L632:N632" ca="1" si="304">L633+L634</f>
        <v>3807230</v>
      </c>
      <c r="M632" s="37">
        <f t="shared" si="304"/>
        <v>0</v>
      </c>
      <c r="N632" s="37">
        <f t="shared" ca="1" si="304"/>
        <v>102410.66</v>
      </c>
      <c r="O632" s="37">
        <f t="shared" ca="1" si="300"/>
        <v>2.6898994807248315</v>
      </c>
      <c r="P632" s="37">
        <f t="shared" si="301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20.25" hidden="1" customHeight="1">
      <c r="A633" s="591"/>
      <c r="B633" s="597"/>
      <c r="C633" s="592"/>
      <c r="D633" s="593"/>
      <c r="E633" s="594" t="s">
        <v>184</v>
      </c>
      <c r="F633" s="592"/>
      <c r="G633" s="595"/>
      <c r="H633" s="161" t="s">
        <v>12</v>
      </c>
      <c r="I633" s="43"/>
      <c r="J633" s="43"/>
      <c r="K633" s="44"/>
      <c r="L633" s="90">
        <v>0</v>
      </c>
      <c r="M633" s="90">
        <v>0</v>
      </c>
      <c r="N633" s="90">
        <v>0</v>
      </c>
      <c r="O633" s="44">
        <f t="shared" si="300"/>
        <v>0</v>
      </c>
      <c r="P633" s="44">
        <f t="shared" si="301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20.25" hidden="1" customHeight="1">
      <c r="A634" s="591"/>
      <c r="B634" s="597"/>
      <c r="C634" s="592"/>
      <c r="D634" s="593"/>
      <c r="E634" s="594" t="s">
        <v>185</v>
      </c>
      <c r="F634" s="592"/>
      <c r="G634" s="595"/>
      <c r="H634" s="161" t="s">
        <v>12</v>
      </c>
      <c r="I634" s="43"/>
      <c r="J634" s="43"/>
      <c r="K634" s="44"/>
      <c r="L634" s="44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0">
        <v>0</v>
      </c>
      <c r="N634" s="44">
        <f ca="1">N635+N636+N637+N638</f>
        <v>102410.66</v>
      </c>
      <c r="O634" s="44">
        <f t="shared" ca="1" si="300"/>
        <v>2.6898994807248315</v>
      </c>
      <c r="P634" s="44">
        <f t="shared" si="301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20.25" customHeight="1">
      <c r="A635" s="566"/>
      <c r="B635" s="567"/>
      <c r="C635" s="568"/>
      <c r="D635" s="568"/>
      <c r="E635" s="568"/>
      <c r="F635" s="569" t="s">
        <v>186</v>
      </c>
      <c r="G635" s="185"/>
      <c r="H635" s="157" t="s">
        <v>12</v>
      </c>
      <c r="I635" s="36"/>
      <c r="J635" s="36"/>
      <c r="K635" s="37"/>
      <c r="L635" s="37"/>
      <c r="M635" s="37"/>
      <c r="N635" s="278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"),0)</f>
        <v>0</v>
      </c>
      <c r="O635" s="37"/>
      <c r="P635" s="37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20.25" customHeight="1">
      <c r="A636" s="566"/>
      <c r="B636" s="567"/>
      <c r="C636" s="568"/>
      <c r="D636" s="568"/>
      <c r="E636" s="568"/>
      <c r="F636" s="569" t="s">
        <v>187</v>
      </c>
      <c r="G636" s="185"/>
      <c r="H636" s="157" t="s">
        <v>12</v>
      </c>
      <c r="I636" s="36"/>
      <c r="J636" s="36"/>
      <c r="K636" s="37"/>
      <c r="L636" s="37"/>
      <c r="M636" s="37"/>
      <c r="N636" s="278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"),19710.85)</f>
        <v>19710.849999999999</v>
      </c>
      <c r="O636" s="37"/>
      <c r="P636" s="37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20.25" customHeight="1">
      <c r="A637" s="566"/>
      <c r="B637" s="567"/>
      <c r="C637" s="568"/>
      <c r="D637" s="568"/>
      <c r="E637" s="568"/>
      <c r="F637" s="569" t="s">
        <v>188</v>
      </c>
      <c r="G637" s="185"/>
      <c r="H637" s="157" t="s">
        <v>12</v>
      </c>
      <c r="I637" s="36"/>
      <c r="J637" s="36"/>
      <c r="K637" s="37"/>
      <c r="L637" s="37"/>
      <c r="M637" s="37"/>
      <c r="N637" s="278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"),25133.33)</f>
        <v>25133.33</v>
      </c>
      <c r="O637" s="37"/>
      <c r="P637" s="37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20.25" customHeight="1">
      <c r="A638" s="566"/>
      <c r="B638" s="567"/>
      <c r="C638" s="568"/>
      <c r="D638" s="568"/>
      <c r="E638" s="568"/>
      <c r="F638" s="569" t="s">
        <v>189</v>
      </c>
      <c r="G638" s="185"/>
      <c r="H638" s="157" t="s">
        <v>12</v>
      </c>
      <c r="I638" s="36"/>
      <c r="J638" s="36"/>
      <c r="K638" s="37"/>
      <c r="L638" s="37"/>
      <c r="M638" s="37"/>
      <c r="N638" s="278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"),57566.48)</f>
        <v>57566.48</v>
      </c>
      <c r="O638" s="37"/>
      <c r="P638" s="37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20.25" customHeight="1">
      <c r="A639" s="589"/>
      <c r="B639" s="567"/>
      <c r="C639" s="568"/>
      <c r="D639" s="598" t="s">
        <v>21</v>
      </c>
      <c r="E639" s="568"/>
      <c r="F639" s="568"/>
      <c r="G639" s="185"/>
      <c r="H639" s="164" t="s">
        <v>12</v>
      </c>
      <c r="I639" s="158"/>
      <c r="J639" s="158"/>
      <c r="K639" s="159"/>
      <c r="L639" s="37">
        <f t="shared" ref="L639:N639" ca="1" si="305">L640+L641</f>
        <v>0</v>
      </c>
      <c r="M639" s="37">
        <f t="shared" si="305"/>
        <v>0</v>
      </c>
      <c r="N639" s="37">
        <f t="shared" si="305"/>
        <v>0</v>
      </c>
      <c r="O639" s="37">
        <f t="shared" ref="O639:O641" ca="1" si="306">IF(L639&gt;0,N639*100/L639,0)</f>
        <v>0</v>
      </c>
      <c r="P639" s="37">
        <f t="shared" ref="P639:P641" si="307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20.25" hidden="1" customHeight="1">
      <c r="A640" s="591"/>
      <c r="B640" s="597"/>
      <c r="C640" s="592"/>
      <c r="D640" s="592"/>
      <c r="E640" s="594" t="s">
        <v>18</v>
      </c>
      <c r="F640" s="592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44">
        <f t="shared" si="306"/>
        <v>0</v>
      </c>
      <c r="P640" s="44">
        <f t="shared" si="307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20.25" hidden="1" customHeight="1">
      <c r="A641" s="591"/>
      <c r="B641" s="597"/>
      <c r="C641" s="592"/>
      <c r="D641" s="592"/>
      <c r="E641" s="594" t="s">
        <v>19</v>
      </c>
      <c r="F641" s="592"/>
      <c r="G641" s="595"/>
      <c r="H641" s="165" t="s">
        <v>12</v>
      </c>
      <c r="I641" s="162"/>
      <c r="J641" s="162"/>
      <c r="K641" s="163"/>
      <c r="L641" s="44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0">
        <v>0</v>
      </c>
      <c r="N641" s="90">
        <v>0</v>
      </c>
      <c r="O641" s="44">
        <f t="shared" ca="1" si="306"/>
        <v>0</v>
      </c>
      <c r="P641" s="44">
        <f t="shared" si="307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20.25" customHeight="1">
      <c r="A642" s="600"/>
      <c r="B642" s="601"/>
      <c r="C642" s="568" t="s">
        <v>16</v>
      </c>
      <c r="D642" s="671" t="s">
        <v>38</v>
      </c>
      <c r="E642" s="604"/>
      <c r="F642" s="604"/>
      <c r="G642" s="605"/>
      <c r="H642" s="171"/>
      <c r="I642" s="158"/>
      <c r="J642" s="158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20.25" customHeight="1">
      <c r="A643" s="734"/>
      <c r="B643" s="567"/>
      <c r="C643" s="568"/>
      <c r="D643" s="611"/>
      <c r="E643" s="735" t="s">
        <v>271</v>
      </c>
      <c r="F643" s="611"/>
      <c r="G643" s="171"/>
      <c r="H643" s="446" t="s">
        <v>272</v>
      </c>
      <c r="I643" s="264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79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"),1)</f>
        <v>1</v>
      </c>
      <c r="K643" s="159">
        <f t="shared" ref="K643:K652" ca="1" si="308">IF(I643&gt;0,J643*100/I643,0)</f>
        <v>10</v>
      </c>
      <c r="L643" s="159"/>
      <c r="M643" s="159"/>
      <c r="N643" s="37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20.25" customHeight="1">
      <c r="A644" s="734"/>
      <c r="B644" s="567"/>
      <c r="C644" s="568"/>
      <c r="D644" s="611"/>
      <c r="E644" s="735" t="s">
        <v>273</v>
      </c>
      <c r="F644" s="611"/>
      <c r="G644" s="171"/>
      <c r="H644" s="446" t="s">
        <v>274</v>
      </c>
      <c r="I644" s="264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79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"),0)</f>
        <v>0</v>
      </c>
      <c r="K644" s="159">
        <f t="shared" ca="1" si="308"/>
        <v>0</v>
      </c>
      <c r="L644" s="159"/>
      <c r="M644" s="159"/>
      <c r="N644" s="37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20.25" customHeight="1">
      <c r="A645" s="734"/>
      <c r="B645" s="567"/>
      <c r="C645" s="568"/>
      <c r="D645" s="611"/>
      <c r="E645" s="736" t="s">
        <v>275</v>
      </c>
      <c r="F645" s="611"/>
      <c r="G645" s="171"/>
      <c r="H645" s="178" t="s">
        <v>34</v>
      </c>
      <c r="I645" s="264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6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"),90)</f>
        <v>90</v>
      </c>
      <c r="K645" s="159">
        <f t="shared" ca="1" si="308"/>
        <v>0</v>
      </c>
      <c r="L645" s="159"/>
      <c r="M645" s="159"/>
      <c r="N645" s="37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20.25" customHeight="1">
      <c r="A646" s="734"/>
      <c r="B646" s="567"/>
      <c r="C646" s="568"/>
      <c r="D646" s="611"/>
      <c r="E646" s="611"/>
      <c r="F646" s="611"/>
      <c r="G646" s="171"/>
      <c r="H646" s="178" t="s">
        <v>46</v>
      </c>
      <c r="I646" s="264">
        <v>0</v>
      </c>
      <c r="J646" s="36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"),136.83)</f>
        <v>136.83000000000001</v>
      </c>
      <c r="K646" s="37">
        <f t="shared" si="308"/>
        <v>0</v>
      </c>
      <c r="L646" s="159"/>
      <c r="M646" s="159"/>
      <c r="N646" s="37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20.25" customHeight="1">
      <c r="A647" s="734"/>
      <c r="B647" s="567"/>
      <c r="C647" s="568"/>
      <c r="D647" s="611"/>
      <c r="E647" s="257" t="s">
        <v>162</v>
      </c>
      <c r="F647" s="611"/>
      <c r="G647" s="171"/>
      <c r="H647" s="178" t="s">
        <v>35</v>
      </c>
      <c r="I647" s="36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6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"),37)</f>
        <v>37</v>
      </c>
      <c r="K647" s="159">
        <f t="shared" ca="1" si="308"/>
        <v>2.5255972696245732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20.25" customHeight="1">
      <c r="A648" s="734"/>
      <c r="B648" s="567"/>
      <c r="C648" s="568"/>
      <c r="D648" s="611"/>
      <c r="E648" s="611"/>
      <c r="F648" s="611"/>
      <c r="G648" s="171"/>
      <c r="H648" s="178" t="s">
        <v>46</v>
      </c>
      <c r="I648" s="264">
        <v>0</v>
      </c>
      <c r="J648" s="36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"),41.25)</f>
        <v>41.25</v>
      </c>
      <c r="K648" s="37">
        <f t="shared" si="308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20.25" customHeight="1">
      <c r="A649" s="734"/>
      <c r="B649" s="567"/>
      <c r="C649" s="568"/>
      <c r="D649" s="611"/>
      <c r="E649" s="257" t="s">
        <v>276</v>
      </c>
      <c r="F649" s="611"/>
      <c r="G649" s="171"/>
      <c r="H649" s="178" t="s">
        <v>35</v>
      </c>
      <c r="I649" s="36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6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"),0)</f>
        <v>0</v>
      </c>
      <c r="K649" s="159">
        <f t="shared" ca="1" si="308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20.25" customHeight="1">
      <c r="A650" s="734"/>
      <c r="B650" s="567"/>
      <c r="C650" s="568"/>
      <c r="D650" s="611"/>
      <c r="E650" s="611"/>
      <c r="F650" s="611"/>
      <c r="G650" s="171"/>
      <c r="H650" s="178" t="s">
        <v>46</v>
      </c>
      <c r="I650" s="264">
        <v>0</v>
      </c>
      <c r="J650" s="36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"),0)</f>
        <v>0</v>
      </c>
      <c r="K650" s="37">
        <f t="shared" si="308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20.25" customHeight="1">
      <c r="A651" s="734"/>
      <c r="B651" s="567"/>
      <c r="C651" s="568"/>
      <c r="D651" s="611"/>
      <c r="E651" s="257" t="s">
        <v>277</v>
      </c>
      <c r="F651" s="611"/>
      <c r="G651" s="171"/>
      <c r="H651" s="178" t="s">
        <v>35</v>
      </c>
      <c r="I651" s="36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6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"),0)</f>
        <v>0</v>
      </c>
      <c r="K651" s="159">
        <f t="shared" ca="1" si="308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20.25" customHeight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380">
        <v>0</v>
      </c>
      <c r="J652" s="498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"),0)</f>
        <v>0</v>
      </c>
      <c r="K652" s="499">
        <f t="shared" si="308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20.25" customHeight="1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20.25" customHeight="1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68">
        <f t="shared" ref="I654:J654" ca="1" si="309">I669</f>
        <v>1235</v>
      </c>
      <c r="J654" s="668">
        <f t="shared" ca="1" si="309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20.25" customHeight="1">
      <c r="A655" s="589"/>
      <c r="B655" s="568"/>
      <c r="C655" s="568" t="s">
        <v>16</v>
      </c>
      <c r="D655" s="845" t="s">
        <v>17</v>
      </c>
      <c r="E655" s="846"/>
      <c r="F655" s="846"/>
      <c r="G655" s="185"/>
      <c r="H655" s="590" t="s">
        <v>12</v>
      </c>
      <c r="I655" s="36"/>
      <c r="J655" s="36"/>
      <c r="K655" s="37"/>
      <c r="L655" s="191">
        <f t="shared" ref="L655:N655" ca="1" si="310">L656+L657</f>
        <v>171700</v>
      </c>
      <c r="M655" s="191">
        <f t="shared" si="310"/>
        <v>0</v>
      </c>
      <c r="N655" s="191">
        <f t="shared" ca="1" si="310"/>
        <v>14050</v>
      </c>
      <c r="O655" s="191">
        <f t="shared" ref="O655:O660" ca="1" si="311">IF(L655&gt;0,N655*100/L655,0)</f>
        <v>8.1828771112405363</v>
      </c>
      <c r="P655" s="191">
        <f t="shared" ref="P655:P660" si="312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20.25" hidden="1" customHeight="1">
      <c r="A656" s="591"/>
      <c r="B656" s="592"/>
      <c r="C656" s="592"/>
      <c r="D656" s="593"/>
      <c r="E656" s="594" t="s">
        <v>184</v>
      </c>
      <c r="F656" s="592"/>
      <c r="G656" s="595"/>
      <c r="H656" s="161" t="s">
        <v>12</v>
      </c>
      <c r="I656" s="43"/>
      <c r="J656" s="43"/>
      <c r="K656" s="44"/>
      <c r="L656" s="44">
        <f t="shared" ref="L656:N656" si="313">L659+L666</f>
        <v>0</v>
      </c>
      <c r="M656" s="44">
        <f t="shared" si="313"/>
        <v>0</v>
      </c>
      <c r="N656" s="44">
        <f t="shared" si="313"/>
        <v>0</v>
      </c>
      <c r="O656" s="44">
        <f t="shared" si="311"/>
        <v>0</v>
      </c>
      <c r="P656" s="44">
        <f t="shared" si="312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20.25" hidden="1" customHeight="1">
      <c r="A657" s="591"/>
      <c r="B657" s="597"/>
      <c r="C657" s="592"/>
      <c r="D657" s="593"/>
      <c r="E657" s="594" t="s">
        <v>185</v>
      </c>
      <c r="F657" s="592"/>
      <c r="G657" s="595"/>
      <c r="H657" s="161" t="s">
        <v>12</v>
      </c>
      <c r="I657" s="43"/>
      <c r="J657" s="43"/>
      <c r="K657" s="44"/>
      <c r="L657" s="44">
        <f t="shared" ref="L657:N657" ca="1" si="314">L660+L667</f>
        <v>171700</v>
      </c>
      <c r="M657" s="44">
        <f t="shared" si="314"/>
        <v>0</v>
      </c>
      <c r="N657" s="44">
        <f t="shared" ca="1" si="314"/>
        <v>14050</v>
      </c>
      <c r="O657" s="44">
        <f t="shared" ca="1" si="311"/>
        <v>8.1828771112405363</v>
      </c>
      <c r="P657" s="44">
        <f t="shared" si="312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20.25" customHeight="1">
      <c r="A658" s="589"/>
      <c r="B658" s="567"/>
      <c r="C658" s="568"/>
      <c r="D658" s="598" t="s">
        <v>20</v>
      </c>
      <c r="E658" s="568"/>
      <c r="F658" s="568"/>
      <c r="G658" s="185"/>
      <c r="H658" s="157" t="s">
        <v>12</v>
      </c>
      <c r="I658" s="158"/>
      <c r="J658" s="158"/>
      <c r="K658" s="159"/>
      <c r="L658" s="37">
        <f t="shared" ref="L658:N658" ca="1" si="315">L659+L660</f>
        <v>171700</v>
      </c>
      <c r="M658" s="37">
        <f t="shared" si="315"/>
        <v>0</v>
      </c>
      <c r="N658" s="37">
        <f t="shared" ca="1" si="315"/>
        <v>14050</v>
      </c>
      <c r="O658" s="37">
        <f t="shared" ca="1" si="311"/>
        <v>8.1828771112405363</v>
      </c>
      <c r="P658" s="37">
        <f t="shared" si="312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20.25" hidden="1" customHeight="1">
      <c r="A659" s="591"/>
      <c r="B659" s="597"/>
      <c r="C659" s="592"/>
      <c r="D659" s="593"/>
      <c r="E659" s="594" t="s">
        <v>184</v>
      </c>
      <c r="F659" s="592"/>
      <c r="G659" s="595"/>
      <c r="H659" s="161" t="s">
        <v>12</v>
      </c>
      <c r="I659" s="43"/>
      <c r="J659" s="43"/>
      <c r="K659" s="44"/>
      <c r="L659" s="90">
        <v>0</v>
      </c>
      <c r="M659" s="90">
        <v>0</v>
      </c>
      <c r="N659" s="90">
        <v>0</v>
      </c>
      <c r="O659" s="44">
        <f t="shared" si="311"/>
        <v>0</v>
      </c>
      <c r="P659" s="44">
        <f t="shared" si="312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20.25" hidden="1" customHeight="1">
      <c r="A660" s="591"/>
      <c r="B660" s="597"/>
      <c r="C660" s="592"/>
      <c r="D660" s="593"/>
      <c r="E660" s="594" t="s">
        <v>185</v>
      </c>
      <c r="F660" s="592"/>
      <c r="G660" s="595"/>
      <c r="H660" s="161" t="s">
        <v>12</v>
      </c>
      <c r="I660" s="43"/>
      <c r="J660" s="43"/>
      <c r="K660" s="44"/>
      <c r="L660" s="44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0">
        <v>0</v>
      </c>
      <c r="N660" s="44">
        <f ca="1">N661+N662+N663+N664</f>
        <v>14050</v>
      </c>
      <c r="O660" s="44">
        <f t="shared" ca="1" si="311"/>
        <v>8.1828771112405363</v>
      </c>
      <c r="P660" s="44">
        <f t="shared" si="312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20.25" customHeight="1">
      <c r="A661" s="566"/>
      <c r="B661" s="567"/>
      <c r="C661" s="568"/>
      <c r="D661" s="568"/>
      <c r="E661" s="568"/>
      <c r="F661" s="569" t="s">
        <v>186</v>
      </c>
      <c r="G661" s="185"/>
      <c r="H661" s="157" t="s">
        <v>12</v>
      </c>
      <c r="I661" s="36"/>
      <c r="J661" s="36"/>
      <c r="K661" s="37"/>
      <c r="L661" s="37"/>
      <c r="M661" s="37"/>
      <c r="N661" s="278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"),0)</f>
        <v>0</v>
      </c>
      <c r="O661" s="37"/>
      <c r="P661" s="37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20.25" customHeight="1">
      <c r="A662" s="566"/>
      <c r="B662" s="567"/>
      <c r="C662" s="568"/>
      <c r="D662" s="568"/>
      <c r="E662" s="568"/>
      <c r="F662" s="569" t="s">
        <v>187</v>
      </c>
      <c r="G662" s="185"/>
      <c r="H662" s="157" t="s">
        <v>12</v>
      </c>
      <c r="I662" s="36"/>
      <c r="J662" s="36"/>
      <c r="K662" s="37"/>
      <c r="L662" s="37"/>
      <c r="M662" s="37"/>
      <c r="N662" s="278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"),1650)</f>
        <v>1650</v>
      </c>
      <c r="O662" s="37"/>
      <c r="P662" s="37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20.25" customHeight="1">
      <c r="A663" s="566"/>
      <c r="B663" s="567"/>
      <c r="C663" s="567"/>
      <c r="D663" s="568"/>
      <c r="E663" s="568"/>
      <c r="F663" s="569" t="s">
        <v>188</v>
      </c>
      <c r="G663" s="185"/>
      <c r="H663" s="157" t="s">
        <v>12</v>
      </c>
      <c r="I663" s="36"/>
      <c r="J663" s="36"/>
      <c r="K663" s="37"/>
      <c r="L663" s="37"/>
      <c r="M663" s="37"/>
      <c r="N663" s="278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"),0)</f>
        <v>0</v>
      </c>
      <c r="O663" s="37"/>
      <c r="P663" s="37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20.25" customHeight="1">
      <c r="A664" s="566"/>
      <c r="B664" s="567"/>
      <c r="C664" s="567"/>
      <c r="D664" s="567"/>
      <c r="E664" s="568"/>
      <c r="F664" s="569" t="s">
        <v>189</v>
      </c>
      <c r="G664" s="185"/>
      <c r="H664" s="157" t="s">
        <v>12</v>
      </c>
      <c r="I664" s="36"/>
      <c r="J664" s="36"/>
      <c r="K664" s="37"/>
      <c r="L664" s="37"/>
      <c r="M664" s="37"/>
      <c r="N664" s="278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"),12400)</f>
        <v>12400</v>
      </c>
      <c r="O664" s="37"/>
      <c r="P664" s="37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20.25" customHeight="1">
      <c r="A665" s="589"/>
      <c r="B665" s="567"/>
      <c r="C665" s="567"/>
      <c r="D665" s="598" t="s">
        <v>21</v>
      </c>
      <c r="E665" s="568"/>
      <c r="F665" s="568"/>
      <c r="G665" s="185"/>
      <c r="H665" s="164" t="s">
        <v>12</v>
      </c>
      <c r="I665" s="158"/>
      <c r="J665" s="158"/>
      <c r="K665" s="159"/>
      <c r="L665" s="37">
        <f t="shared" ref="L665:N665" si="316">L666+L667</f>
        <v>0</v>
      </c>
      <c r="M665" s="37">
        <f t="shared" si="316"/>
        <v>0</v>
      </c>
      <c r="N665" s="37">
        <f t="shared" si="316"/>
        <v>0</v>
      </c>
      <c r="O665" s="37">
        <f t="shared" ref="O665:O667" si="317">IF(L665&gt;0,N665*100/L665,0)</f>
        <v>0</v>
      </c>
      <c r="P665" s="37">
        <f t="shared" ref="P665:P667" si="318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20.25" hidden="1" customHeight="1">
      <c r="A666" s="591"/>
      <c r="B666" s="597"/>
      <c r="C666" s="597"/>
      <c r="D666" s="597"/>
      <c r="E666" s="594" t="s">
        <v>18</v>
      </c>
      <c r="F666" s="592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44">
        <f t="shared" si="317"/>
        <v>0</v>
      </c>
      <c r="P666" s="44">
        <f t="shared" si="318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20.25" hidden="1" customHeight="1">
      <c r="A667" s="591"/>
      <c r="B667" s="597"/>
      <c r="C667" s="597"/>
      <c r="D667" s="597"/>
      <c r="E667" s="594" t="s">
        <v>19</v>
      </c>
      <c r="F667" s="592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44">
        <f t="shared" si="317"/>
        <v>0</v>
      </c>
      <c r="P667" s="44">
        <f t="shared" si="318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20.25" customHeight="1">
      <c r="A668" s="600"/>
      <c r="B668" s="601"/>
      <c r="C668" s="567" t="s">
        <v>16</v>
      </c>
      <c r="D668" s="602" t="s">
        <v>38</v>
      </c>
      <c r="E668" s="604"/>
      <c r="F668" s="604"/>
      <c r="G668" s="605"/>
      <c r="H668" s="171"/>
      <c r="I668" s="158"/>
      <c r="J668" s="158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20.25" customHeight="1">
      <c r="A669" s="600"/>
      <c r="B669" s="601"/>
      <c r="C669" s="601"/>
      <c r="D669" s="610" t="s">
        <v>280</v>
      </c>
      <c r="E669" s="611"/>
      <c r="F669" s="611"/>
      <c r="G669" s="171"/>
      <c r="H669" s="742" t="s">
        <v>46</v>
      </c>
      <c r="I669" s="190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0">
        <f ca="1"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20.25" customHeight="1">
      <c r="A670" s="600"/>
      <c r="B670" s="601"/>
      <c r="C670" s="601"/>
      <c r="D670" s="601"/>
      <c r="E670" s="183" t="s">
        <v>281</v>
      </c>
      <c r="F670" s="611"/>
      <c r="G670" s="171"/>
      <c r="H670" s="446" t="s">
        <v>69</v>
      </c>
      <c r="I670" s="36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79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"),14)</f>
        <v>14</v>
      </c>
      <c r="K670" s="37">
        <f ca="1">IF(I670&gt;0,(J670*100)/I670,0)</f>
        <v>22.950819672131146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20.25" customHeight="1">
      <c r="A671" s="600"/>
      <c r="B671" s="601"/>
      <c r="C671" s="601"/>
      <c r="D671" s="601"/>
      <c r="E671" s="183" t="s">
        <v>282</v>
      </c>
      <c r="F671" s="611"/>
      <c r="G671" s="171"/>
      <c r="H671" s="446" t="s">
        <v>69</v>
      </c>
      <c r="I671" s="36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79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"),14)</f>
        <v>14</v>
      </c>
      <c r="K671" s="37">
        <f ca="1">IF(I$671&gt;0,J671*100/I$671,0)</f>
        <v>22.950819672131146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20.25" customHeight="1">
      <c r="A672" s="600"/>
      <c r="B672" s="601"/>
      <c r="C672" s="601"/>
      <c r="D672" s="601"/>
      <c r="E672" s="183" t="s">
        <v>283</v>
      </c>
      <c r="F672" s="611"/>
      <c r="G672" s="171"/>
      <c r="H672" s="178" t="s">
        <v>46</v>
      </c>
      <c r="I672" s="36"/>
      <c r="J672" s="179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"),28)</f>
        <v>28</v>
      </c>
      <c r="K672" s="37">
        <f t="shared" ref="K672:K675" ca="1" si="319">IF(I$669&gt;0,J672*100/I$669,0)</f>
        <v>2.2672064777327936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20.25" customHeight="1">
      <c r="A673" s="600"/>
      <c r="B673" s="601"/>
      <c r="C673" s="601"/>
      <c r="D673" s="601"/>
      <c r="E673" s="183" t="s">
        <v>284</v>
      </c>
      <c r="F673" s="611"/>
      <c r="G673" s="171"/>
      <c r="H673" s="178" t="s">
        <v>46</v>
      </c>
      <c r="I673" s="36"/>
      <c r="J673" s="179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"),0)</f>
        <v>0</v>
      </c>
      <c r="K673" s="37">
        <f t="shared" ca="1" si="319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20.25" customHeight="1">
      <c r="A674" s="600"/>
      <c r="B674" s="601"/>
      <c r="C674" s="601"/>
      <c r="D674" s="601"/>
      <c r="E674" s="183" t="s">
        <v>285</v>
      </c>
      <c r="F674" s="611"/>
      <c r="G674" s="171"/>
      <c r="H674" s="178" t="s">
        <v>46</v>
      </c>
      <c r="I674" s="36"/>
      <c r="J674" s="179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"),0)</f>
        <v>0</v>
      </c>
      <c r="K674" s="37">
        <f t="shared" ca="1" si="319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20.25" customHeight="1">
      <c r="A675" s="600"/>
      <c r="B675" s="601"/>
      <c r="C675" s="601"/>
      <c r="D675" s="601"/>
      <c r="E675" s="183" t="s">
        <v>286</v>
      </c>
      <c r="F675" s="611"/>
      <c r="G675" s="171"/>
      <c r="H675" s="178" t="s">
        <v>46</v>
      </c>
      <c r="I675" s="36"/>
      <c r="J675" s="190">
        <f ca="1">J676+J677</f>
        <v>0</v>
      </c>
      <c r="K675" s="191">
        <f t="shared" ca="1" si="319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20.25" customHeight="1">
      <c r="A676" s="600"/>
      <c r="B676" s="601"/>
      <c r="C676" s="601"/>
      <c r="D676" s="601"/>
      <c r="E676" s="611"/>
      <c r="F676" s="183" t="s">
        <v>287</v>
      </c>
      <c r="G676" s="171"/>
      <c r="H676" s="178" t="s">
        <v>46</v>
      </c>
      <c r="I676" s="36"/>
      <c r="J676" s="179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"),0)</f>
        <v>0</v>
      </c>
      <c r="K676" s="37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20.25" customHeight="1">
      <c r="A677" s="600"/>
      <c r="B677" s="601"/>
      <c r="C677" s="601"/>
      <c r="D677" s="601"/>
      <c r="E677" s="611"/>
      <c r="F677" s="183" t="s">
        <v>288</v>
      </c>
      <c r="G677" s="171"/>
      <c r="H677" s="178" t="s">
        <v>46</v>
      </c>
      <c r="I677" s="36"/>
      <c r="J677" s="179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"),0)</f>
        <v>0</v>
      </c>
      <c r="K677" s="37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20.25" customHeight="1">
      <c r="A678" s="600"/>
      <c r="B678" s="601"/>
      <c r="C678" s="601"/>
      <c r="D678" s="610" t="s">
        <v>289</v>
      </c>
      <c r="E678" s="611"/>
      <c r="F678" s="611"/>
      <c r="G678" s="171"/>
      <c r="H678" s="178" t="s">
        <v>46</v>
      </c>
      <c r="I678" s="190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0">
        <f ca="1"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20.25" customHeight="1">
      <c r="A679" s="600"/>
      <c r="B679" s="601"/>
      <c r="C679" s="601"/>
      <c r="D679" s="601"/>
      <c r="E679" s="183" t="s">
        <v>290</v>
      </c>
      <c r="F679" s="611"/>
      <c r="G679" s="171"/>
      <c r="H679" s="178" t="s">
        <v>46</v>
      </c>
      <c r="I679" s="36"/>
      <c r="J679" s="36">
        <f ca="1">J680+J681</f>
        <v>0</v>
      </c>
      <c r="K679" s="37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20.25" customHeight="1">
      <c r="A680" s="600"/>
      <c r="B680" s="601"/>
      <c r="C680" s="601"/>
      <c r="D680" s="601"/>
      <c r="E680" s="611"/>
      <c r="F680" s="183" t="s">
        <v>287</v>
      </c>
      <c r="G680" s="171"/>
      <c r="H680" s="178" t="s">
        <v>46</v>
      </c>
      <c r="I680" s="36"/>
      <c r="J680" s="179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"),0)</f>
        <v>0</v>
      </c>
      <c r="K680" s="37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20.25" customHeight="1">
      <c r="A681" s="600"/>
      <c r="B681" s="601"/>
      <c r="C681" s="601"/>
      <c r="D681" s="601"/>
      <c r="E681" s="611"/>
      <c r="F681" s="183" t="s">
        <v>288</v>
      </c>
      <c r="G681" s="171"/>
      <c r="H681" s="178" t="s">
        <v>46</v>
      </c>
      <c r="I681" s="36"/>
      <c r="J681" s="179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"),0)</f>
        <v>0</v>
      </c>
      <c r="K681" s="37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20.25" customHeight="1">
      <c r="A682" s="600"/>
      <c r="B682" s="601"/>
      <c r="C682" s="601"/>
      <c r="D682" s="601"/>
      <c r="E682" s="183" t="s">
        <v>291</v>
      </c>
      <c r="F682" s="611"/>
      <c r="G682" s="171"/>
      <c r="H682" s="178" t="s">
        <v>46</v>
      </c>
      <c r="I682" s="36"/>
      <c r="J682" s="179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"),0)</f>
        <v>0</v>
      </c>
      <c r="K682" s="37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20.25" customHeight="1">
      <c r="A683" s="600"/>
      <c r="B683" s="601"/>
      <c r="C683" s="601"/>
      <c r="D683" s="601"/>
      <c r="E683" s="611"/>
      <c r="F683" s="183" t="s">
        <v>292</v>
      </c>
      <c r="G683" s="171"/>
      <c r="H683" s="178" t="s">
        <v>46</v>
      </c>
      <c r="I683" s="36"/>
      <c r="J683" s="179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7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20.25" customHeight="1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20.25" customHeight="1">
      <c r="A685" s="589"/>
      <c r="B685" s="568"/>
      <c r="C685" s="568" t="s">
        <v>16</v>
      </c>
      <c r="D685" s="845" t="s">
        <v>17</v>
      </c>
      <c r="E685" s="846"/>
      <c r="F685" s="846"/>
      <c r="G685" s="185"/>
      <c r="H685" s="590" t="s">
        <v>12</v>
      </c>
      <c r="I685" s="36"/>
      <c r="J685" s="36"/>
      <c r="K685" s="37"/>
      <c r="L685" s="191">
        <f t="shared" ref="L685:N685" ca="1" si="320">L686+L687</f>
        <v>352810</v>
      </c>
      <c r="M685" s="191">
        <f t="shared" si="320"/>
        <v>0</v>
      </c>
      <c r="N685" s="191">
        <f t="shared" ca="1" si="320"/>
        <v>1680</v>
      </c>
      <c r="O685" s="191">
        <f t="shared" ref="O685:O688" ca="1" si="321">IF(L685&gt;0,N685*100/L685,0)</f>
        <v>0.47617697911056944</v>
      </c>
      <c r="P685" s="191">
        <f t="shared" ref="P685:P688" si="322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20.25" hidden="1" customHeight="1">
      <c r="A686" s="591"/>
      <c r="B686" s="592"/>
      <c r="C686" s="592"/>
      <c r="D686" s="593"/>
      <c r="E686" s="594" t="s">
        <v>184</v>
      </c>
      <c r="F686" s="592"/>
      <c r="G686" s="595"/>
      <c r="H686" s="161" t="s">
        <v>12</v>
      </c>
      <c r="I686" s="43"/>
      <c r="J686" s="43"/>
      <c r="K686" s="44"/>
      <c r="L686" s="44">
        <f t="shared" ref="L686:N686" si="323">L689+L696</f>
        <v>0</v>
      </c>
      <c r="M686" s="44">
        <f t="shared" si="323"/>
        <v>0</v>
      </c>
      <c r="N686" s="44">
        <f t="shared" si="323"/>
        <v>0</v>
      </c>
      <c r="O686" s="44">
        <f t="shared" si="321"/>
        <v>0</v>
      </c>
      <c r="P686" s="44">
        <f t="shared" si="322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20.25" hidden="1" customHeight="1">
      <c r="A687" s="591"/>
      <c r="B687" s="597"/>
      <c r="C687" s="592"/>
      <c r="D687" s="593"/>
      <c r="E687" s="594" t="s">
        <v>185</v>
      </c>
      <c r="F687" s="592"/>
      <c r="G687" s="595"/>
      <c r="H687" s="161" t="s">
        <v>12</v>
      </c>
      <c r="I687" s="43"/>
      <c r="J687" s="43"/>
      <c r="K687" s="44"/>
      <c r="L687" s="44">
        <f t="shared" ref="L687:N687" ca="1" si="324">L690+L697</f>
        <v>352810</v>
      </c>
      <c r="M687" s="44">
        <f t="shared" si="324"/>
        <v>0</v>
      </c>
      <c r="N687" s="44">
        <f t="shared" ca="1" si="324"/>
        <v>1680</v>
      </c>
      <c r="O687" s="44">
        <f t="shared" ca="1" si="321"/>
        <v>0.47617697911056944</v>
      </c>
      <c r="P687" s="44">
        <f t="shared" si="322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20.25" customHeight="1">
      <c r="A688" s="589"/>
      <c r="B688" s="567"/>
      <c r="C688" s="568"/>
      <c r="D688" s="598" t="s">
        <v>20</v>
      </c>
      <c r="E688" s="568"/>
      <c r="F688" s="568"/>
      <c r="G688" s="185"/>
      <c r="H688" s="157" t="s">
        <v>12</v>
      </c>
      <c r="I688" s="158"/>
      <c r="J688" s="158"/>
      <c r="K688" s="159"/>
      <c r="L688" s="37">
        <f t="shared" ref="L688:N688" ca="1" si="325">L689+L690</f>
        <v>352810</v>
      </c>
      <c r="M688" s="37">
        <f t="shared" si="325"/>
        <v>0</v>
      </c>
      <c r="N688" s="37">
        <f t="shared" ca="1" si="325"/>
        <v>1680</v>
      </c>
      <c r="O688" s="37">
        <f t="shared" ca="1" si="321"/>
        <v>0.47617697911056944</v>
      </c>
      <c r="P688" s="37">
        <f t="shared" si="322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20.25" hidden="1" customHeight="1">
      <c r="A689" s="591"/>
      <c r="B689" s="597"/>
      <c r="C689" s="592"/>
      <c r="D689" s="593"/>
      <c r="E689" s="594" t="s">
        <v>184</v>
      </c>
      <c r="F689" s="592"/>
      <c r="G689" s="595"/>
      <c r="H689" s="161" t="s">
        <v>12</v>
      </c>
      <c r="I689" s="43"/>
      <c r="J689" s="43"/>
      <c r="K689" s="44"/>
      <c r="L689" s="90">
        <v>0</v>
      </c>
      <c r="M689" s="90">
        <v>0</v>
      </c>
      <c r="N689" s="90">
        <v>0</v>
      </c>
      <c r="O689" s="44"/>
      <c r="P689" s="44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20.25" hidden="1" customHeight="1">
      <c r="A690" s="591"/>
      <c r="B690" s="597"/>
      <c r="C690" s="592"/>
      <c r="D690" s="593"/>
      <c r="E690" s="594" t="s">
        <v>185</v>
      </c>
      <c r="F690" s="592"/>
      <c r="G690" s="595"/>
      <c r="H690" s="161" t="s">
        <v>12</v>
      </c>
      <c r="I690" s="43"/>
      <c r="J690" s="43"/>
      <c r="K690" s="44"/>
      <c r="L690" s="44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0">
        <v>0</v>
      </c>
      <c r="N690" s="44">
        <f ca="1">N691+N692+N693+N694</f>
        <v>1680</v>
      </c>
      <c r="O690" s="44">
        <f ca="1">IF(L690&gt;0,N690*100/L690,0)</f>
        <v>0.47617697911056944</v>
      </c>
      <c r="P690" s="44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20.25" customHeight="1">
      <c r="A691" s="566"/>
      <c r="B691" s="567"/>
      <c r="C691" s="568"/>
      <c r="D691" s="568"/>
      <c r="E691" s="568"/>
      <c r="F691" s="569" t="s">
        <v>186</v>
      </c>
      <c r="G691" s="185"/>
      <c r="H691" s="157" t="s">
        <v>12</v>
      </c>
      <c r="I691" s="36"/>
      <c r="J691" s="36"/>
      <c r="K691" s="37"/>
      <c r="L691" s="37"/>
      <c r="M691" s="37"/>
      <c r="N691" s="278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7"/>
      <c r="P691" s="37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20.25" customHeight="1">
      <c r="A692" s="566"/>
      <c r="B692" s="567"/>
      <c r="C692" s="568"/>
      <c r="D692" s="568"/>
      <c r="E692" s="568"/>
      <c r="F692" s="569" t="s">
        <v>187</v>
      </c>
      <c r="G692" s="185"/>
      <c r="H692" s="157" t="s">
        <v>12</v>
      </c>
      <c r="I692" s="36"/>
      <c r="J692" s="36"/>
      <c r="K692" s="37"/>
      <c r="L692" s="37"/>
      <c r="M692" s="37"/>
      <c r="N692" s="278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"),1680)</f>
        <v>1680</v>
      </c>
      <c r="O692" s="37"/>
      <c r="P692" s="37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20.25" customHeight="1">
      <c r="A693" s="566"/>
      <c r="B693" s="567"/>
      <c r="C693" s="568"/>
      <c r="D693" s="568"/>
      <c r="E693" s="568"/>
      <c r="F693" s="569" t="s">
        <v>188</v>
      </c>
      <c r="G693" s="185"/>
      <c r="H693" s="157" t="s">
        <v>12</v>
      </c>
      <c r="I693" s="36"/>
      <c r="J693" s="36"/>
      <c r="K693" s="37"/>
      <c r="L693" s="37"/>
      <c r="M693" s="37"/>
      <c r="N693" s="278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7"/>
      <c r="P693" s="37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20.25" customHeight="1">
      <c r="A694" s="566"/>
      <c r="B694" s="567"/>
      <c r="C694" s="568"/>
      <c r="D694" s="568"/>
      <c r="E694" s="568"/>
      <c r="F694" s="569" t="s">
        <v>189</v>
      </c>
      <c r="G694" s="185"/>
      <c r="H694" s="157" t="s">
        <v>12</v>
      </c>
      <c r="I694" s="36"/>
      <c r="J694" s="36"/>
      <c r="K694" s="37"/>
      <c r="L694" s="37"/>
      <c r="M694" s="37"/>
      <c r="N694" s="278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"),0)</f>
        <v>0</v>
      </c>
      <c r="O694" s="37"/>
      <c r="P694" s="37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20.25" customHeight="1">
      <c r="A695" s="589"/>
      <c r="B695" s="567"/>
      <c r="C695" s="568"/>
      <c r="D695" s="748" t="s">
        <v>21</v>
      </c>
      <c r="E695" s="568"/>
      <c r="F695" s="568"/>
      <c r="G695" s="185"/>
      <c r="H695" s="164" t="s">
        <v>12</v>
      </c>
      <c r="I695" s="158"/>
      <c r="J695" s="158"/>
      <c r="K695" s="159"/>
      <c r="L695" s="37">
        <f t="shared" ref="L695:N695" si="326">L696+L697</f>
        <v>0</v>
      </c>
      <c r="M695" s="37">
        <f t="shared" si="326"/>
        <v>0</v>
      </c>
      <c r="N695" s="37">
        <f t="shared" si="326"/>
        <v>0</v>
      </c>
      <c r="O695" s="37">
        <f t="shared" ref="O695:O697" si="327">IF(L695&gt;0,N695*100/L695,0)</f>
        <v>0</v>
      </c>
      <c r="P695" s="37">
        <f t="shared" ref="P695:P697" si="32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20.25" hidden="1" customHeight="1">
      <c r="A696" s="591"/>
      <c r="B696" s="597"/>
      <c r="C696" s="592"/>
      <c r="D696" s="592"/>
      <c r="E696" s="749" t="s">
        <v>18</v>
      </c>
      <c r="F696" s="592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44">
        <f t="shared" si="327"/>
        <v>0</v>
      </c>
      <c r="P696" s="44">
        <f t="shared" si="32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20.25" hidden="1" customHeight="1">
      <c r="A697" s="591"/>
      <c r="B697" s="597"/>
      <c r="C697" s="592"/>
      <c r="D697" s="592"/>
      <c r="E697" s="749" t="s">
        <v>19</v>
      </c>
      <c r="F697" s="592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44">
        <f t="shared" si="327"/>
        <v>0</v>
      </c>
      <c r="P697" s="44">
        <f t="shared" si="32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20.25" customHeight="1">
      <c r="A698" s="600"/>
      <c r="B698" s="601"/>
      <c r="C698" s="568" t="s">
        <v>16</v>
      </c>
      <c r="D698" s="750" t="s">
        <v>38</v>
      </c>
      <c r="E698" s="751"/>
      <c r="F698" s="604"/>
      <c r="G698" s="605"/>
      <c r="H698" s="752"/>
      <c r="I698" s="158"/>
      <c r="J698" s="158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20.25" customHeight="1">
      <c r="A699" s="734"/>
      <c r="B699" s="568"/>
      <c r="C699" s="568"/>
      <c r="D699" s="569" t="s">
        <v>294</v>
      </c>
      <c r="E699" s="753"/>
      <c r="F699" s="568"/>
      <c r="G699" s="185"/>
      <c r="H699" s="754" t="s">
        <v>46</v>
      </c>
      <c r="I699" s="755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6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"),0)</f>
        <v>0</v>
      </c>
      <c r="K699" s="37">
        <f t="shared" ref="K699:K701" ca="1" si="329">IF(I699&gt;0,J699*100/I699,0)</f>
        <v>0</v>
      </c>
      <c r="L699" s="37"/>
      <c r="M699" s="185"/>
      <c r="N699" s="756"/>
      <c r="O699" s="37"/>
      <c r="P699" s="37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20.25" customHeight="1">
      <c r="A700" s="734"/>
      <c r="B700" s="568"/>
      <c r="C700" s="568"/>
      <c r="D700" s="569" t="s">
        <v>295</v>
      </c>
      <c r="E700" s="568"/>
      <c r="F700" s="568"/>
      <c r="G700" s="185"/>
      <c r="H700" s="754" t="s">
        <v>35</v>
      </c>
      <c r="I700" s="755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6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"),2)</f>
        <v>2</v>
      </c>
      <c r="K700" s="37">
        <f t="shared" ca="1" si="329"/>
        <v>1.4492753623188406</v>
      </c>
      <c r="L700" s="37"/>
      <c r="M700" s="185"/>
      <c r="N700" s="756"/>
      <c r="O700" s="37"/>
      <c r="P700" s="37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20.25" customHeight="1">
      <c r="A701" s="734"/>
      <c r="B701" s="568"/>
      <c r="C701" s="568"/>
      <c r="D701" s="569" t="s">
        <v>296</v>
      </c>
      <c r="E701" s="568"/>
      <c r="F701" s="568"/>
      <c r="G701" s="185"/>
      <c r="H701" s="757" t="s">
        <v>46</v>
      </c>
      <c r="I701" s="758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0">
        <f ca="1">J704+J707</f>
        <v>0</v>
      </c>
      <c r="K701" s="191">
        <f t="shared" ca="1" si="329"/>
        <v>0</v>
      </c>
      <c r="L701" s="37"/>
      <c r="M701" s="185"/>
      <c r="N701" s="756"/>
      <c r="O701" s="37"/>
      <c r="P701" s="37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20.25" customHeight="1">
      <c r="A702" s="734"/>
      <c r="B702" s="568"/>
      <c r="C702" s="568"/>
      <c r="D702" s="568"/>
      <c r="E702" s="569" t="s">
        <v>297</v>
      </c>
      <c r="F702" s="568"/>
      <c r="G702" s="185"/>
      <c r="H702" s="178" t="s">
        <v>35</v>
      </c>
      <c r="I702" s="755"/>
      <c r="J702" s="179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"),0)</f>
        <v>0</v>
      </c>
      <c r="K702" s="37"/>
      <c r="L702" s="37"/>
      <c r="M702" s="185"/>
      <c r="N702" s="756"/>
      <c r="O702" s="37"/>
      <c r="P702" s="37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20.25" customHeight="1">
      <c r="A703" s="734"/>
      <c r="B703" s="568"/>
      <c r="C703" s="568"/>
      <c r="D703" s="568"/>
      <c r="E703" s="568"/>
      <c r="F703" s="568"/>
      <c r="G703" s="185"/>
      <c r="H703" s="178" t="s">
        <v>34</v>
      </c>
      <c r="I703" s="755"/>
      <c r="J703" s="179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"),0)</f>
        <v>0</v>
      </c>
      <c r="K703" s="37"/>
      <c r="L703" s="37"/>
      <c r="M703" s="185"/>
      <c r="N703" s="756"/>
      <c r="O703" s="37"/>
      <c r="P703" s="37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20.25" customHeight="1">
      <c r="A704" s="734"/>
      <c r="B704" s="568"/>
      <c r="C704" s="568"/>
      <c r="D704" s="568"/>
      <c r="E704" s="568"/>
      <c r="F704" s="568"/>
      <c r="G704" s="185"/>
      <c r="H704" s="178" t="s">
        <v>46</v>
      </c>
      <c r="I704" s="755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79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"),0)</f>
        <v>0</v>
      </c>
      <c r="K704" s="37"/>
      <c r="L704" s="37"/>
      <c r="M704" s="185"/>
      <c r="N704" s="756"/>
      <c r="O704" s="37"/>
      <c r="P704" s="37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20.25" customHeight="1">
      <c r="A705" s="734"/>
      <c r="B705" s="568"/>
      <c r="C705" s="568"/>
      <c r="D705" s="568"/>
      <c r="E705" s="569" t="s">
        <v>298</v>
      </c>
      <c r="F705" s="568"/>
      <c r="G705" s="185"/>
      <c r="H705" s="178" t="s">
        <v>35</v>
      </c>
      <c r="I705" s="755"/>
      <c r="J705" s="179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"),0)</f>
        <v>0</v>
      </c>
      <c r="K705" s="37"/>
      <c r="L705" s="37"/>
      <c r="M705" s="185"/>
      <c r="N705" s="756"/>
      <c r="O705" s="37"/>
      <c r="P705" s="37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20.25" customHeight="1">
      <c r="A706" s="734"/>
      <c r="B706" s="568"/>
      <c r="C706" s="568"/>
      <c r="D706" s="568"/>
      <c r="E706" s="568"/>
      <c r="F706" s="568"/>
      <c r="G706" s="185"/>
      <c r="H706" s="178" t="s">
        <v>34</v>
      </c>
      <c r="I706" s="755"/>
      <c r="J706" s="179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"),0)</f>
        <v>0</v>
      </c>
      <c r="K706" s="37"/>
      <c r="L706" s="37"/>
      <c r="M706" s="185"/>
      <c r="N706" s="756"/>
      <c r="O706" s="37"/>
      <c r="P706" s="37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20.25" customHeight="1">
      <c r="A707" s="734"/>
      <c r="B707" s="568"/>
      <c r="C707" s="568"/>
      <c r="D707" s="568"/>
      <c r="E707" s="568"/>
      <c r="F707" s="568"/>
      <c r="G707" s="185"/>
      <c r="H707" s="178" t="s">
        <v>46</v>
      </c>
      <c r="I707" s="755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79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"),0)</f>
        <v>0</v>
      </c>
      <c r="K707" s="37"/>
      <c r="L707" s="37"/>
      <c r="M707" s="185"/>
      <c r="N707" s="756"/>
      <c r="O707" s="37"/>
      <c r="P707" s="37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20.25" customHeight="1">
      <c r="A708" s="734"/>
      <c r="B708" s="568"/>
      <c r="C708" s="568"/>
      <c r="D708" s="759" t="s">
        <v>299</v>
      </c>
      <c r="E708" s="568"/>
      <c r="F708" s="568"/>
      <c r="G708" s="185"/>
      <c r="H708" s="188" t="s">
        <v>46</v>
      </c>
      <c r="I708" s="758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"),2386)</f>
        <v>2386</v>
      </c>
      <c r="J708" s="190">
        <f ca="1">J714+J717</f>
        <v>0</v>
      </c>
      <c r="K708" s="191">
        <f ca="1">IF(I708&gt;0,J708*100/I708,0)</f>
        <v>0</v>
      </c>
      <c r="L708" s="37"/>
      <c r="M708" s="185"/>
      <c r="N708" s="756"/>
      <c r="O708" s="37"/>
      <c r="P708" s="37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20.25" customHeight="1">
      <c r="A709" s="734"/>
      <c r="B709" s="568"/>
      <c r="C709" s="568"/>
      <c r="D709" s="568"/>
      <c r="E709" s="569" t="s">
        <v>300</v>
      </c>
      <c r="F709" s="568"/>
      <c r="G709" s="185"/>
      <c r="H709" s="178" t="s">
        <v>34</v>
      </c>
      <c r="I709" s="755"/>
      <c r="J709" s="179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"),0)</f>
        <v>0</v>
      </c>
      <c r="K709" s="37"/>
      <c r="L709" s="756"/>
      <c r="M709" s="185"/>
      <c r="N709" s="756"/>
      <c r="O709" s="37"/>
      <c r="P709" s="37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20.25" customHeight="1">
      <c r="A710" s="734"/>
      <c r="B710" s="568"/>
      <c r="C710" s="568"/>
      <c r="D710" s="568"/>
      <c r="E710" s="568"/>
      <c r="F710" s="568"/>
      <c r="G710" s="185"/>
      <c r="H710" s="178" t="s">
        <v>46</v>
      </c>
      <c r="I710" s="755"/>
      <c r="J710" s="179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"),0)</f>
        <v>0</v>
      </c>
      <c r="K710" s="37"/>
      <c r="L710" s="756"/>
      <c r="M710" s="185"/>
      <c r="N710" s="756"/>
      <c r="O710" s="37"/>
      <c r="P710" s="37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20.25" customHeight="1">
      <c r="A711" s="734"/>
      <c r="B711" s="568"/>
      <c r="C711" s="568"/>
      <c r="D711" s="568"/>
      <c r="E711" s="569" t="s">
        <v>301</v>
      </c>
      <c r="F711" s="568"/>
      <c r="G711" s="185"/>
      <c r="H711" s="171"/>
      <c r="I711" s="755"/>
      <c r="J711" s="36"/>
      <c r="K711" s="37"/>
      <c r="L711" s="756"/>
      <c r="M711" s="185"/>
      <c r="N711" s="756"/>
      <c r="O711" s="37"/>
      <c r="P711" s="37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20.25" customHeight="1">
      <c r="A712" s="734"/>
      <c r="B712" s="568"/>
      <c r="C712" s="568"/>
      <c r="D712" s="568"/>
      <c r="E712" s="568"/>
      <c r="F712" s="569" t="s">
        <v>302</v>
      </c>
      <c r="G712" s="185"/>
      <c r="H712" s="178" t="s">
        <v>35</v>
      </c>
      <c r="I712" s="755"/>
      <c r="J712" s="179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"),0)</f>
        <v>0</v>
      </c>
      <c r="K712" s="37"/>
      <c r="L712" s="756"/>
      <c r="M712" s="185"/>
      <c r="N712" s="756"/>
      <c r="O712" s="37"/>
      <c r="P712" s="37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20.25" customHeight="1">
      <c r="A713" s="734"/>
      <c r="B713" s="568"/>
      <c r="C713" s="568"/>
      <c r="D713" s="568"/>
      <c r="E713" s="568"/>
      <c r="F713" s="568"/>
      <c r="G713" s="185"/>
      <c r="H713" s="178" t="s">
        <v>34</v>
      </c>
      <c r="I713" s="755"/>
      <c r="J713" s="179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"),0)</f>
        <v>0</v>
      </c>
      <c r="K713" s="37"/>
      <c r="L713" s="756"/>
      <c r="M713" s="185"/>
      <c r="N713" s="756"/>
      <c r="O713" s="37"/>
      <c r="P713" s="37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20.25" customHeight="1">
      <c r="A714" s="734"/>
      <c r="B714" s="568"/>
      <c r="C714" s="568"/>
      <c r="D714" s="568"/>
      <c r="E714" s="568"/>
      <c r="F714" s="568"/>
      <c r="G714" s="185"/>
      <c r="H714" s="178" t="s">
        <v>46</v>
      </c>
      <c r="I714" s="755"/>
      <c r="J714" s="179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"),0)</f>
        <v>0</v>
      </c>
      <c r="K714" s="37"/>
      <c r="L714" s="756"/>
      <c r="M714" s="185"/>
      <c r="N714" s="756"/>
      <c r="O714" s="37"/>
      <c r="P714" s="37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20.25" customHeight="1">
      <c r="A715" s="734"/>
      <c r="B715" s="568"/>
      <c r="C715" s="568"/>
      <c r="D715" s="568"/>
      <c r="E715" s="568"/>
      <c r="F715" s="569" t="s">
        <v>303</v>
      </c>
      <c r="G715" s="185"/>
      <c r="H715" s="178" t="s">
        <v>35</v>
      </c>
      <c r="I715" s="755"/>
      <c r="J715" s="179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"),0)</f>
        <v>0</v>
      </c>
      <c r="K715" s="37"/>
      <c r="L715" s="756"/>
      <c r="M715" s="185"/>
      <c r="N715" s="756"/>
      <c r="O715" s="37"/>
      <c r="P715" s="37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20.25" customHeight="1">
      <c r="A716" s="734"/>
      <c r="B716" s="568"/>
      <c r="C716" s="568"/>
      <c r="D716" s="568"/>
      <c r="E716" s="568"/>
      <c r="F716" s="568"/>
      <c r="G716" s="185"/>
      <c r="H716" s="178" t="s">
        <v>34</v>
      </c>
      <c r="I716" s="755"/>
      <c r="J716" s="179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"),0)</f>
        <v>0</v>
      </c>
      <c r="K716" s="37"/>
      <c r="L716" s="756"/>
      <c r="M716" s="185"/>
      <c r="N716" s="756"/>
      <c r="O716" s="37"/>
      <c r="P716" s="37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20.25" customHeight="1">
      <c r="A717" s="734"/>
      <c r="B717" s="568"/>
      <c r="C717" s="568"/>
      <c r="D717" s="568"/>
      <c r="E717" s="568"/>
      <c r="F717" s="568"/>
      <c r="G717" s="185"/>
      <c r="H717" s="178" t="s">
        <v>46</v>
      </c>
      <c r="I717" s="755"/>
      <c r="J717" s="179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"),0)</f>
        <v>0</v>
      </c>
      <c r="K717" s="37"/>
      <c r="L717" s="756"/>
      <c r="M717" s="185"/>
      <c r="N717" s="756"/>
      <c r="O717" s="37"/>
      <c r="P717" s="37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20.25" customHeight="1">
      <c r="A718" s="734"/>
      <c r="B718" s="568"/>
      <c r="C718" s="568"/>
      <c r="D718" s="569" t="s">
        <v>304</v>
      </c>
      <c r="E718" s="568"/>
      <c r="F718" s="568"/>
      <c r="G718" s="185"/>
      <c r="H718" s="178" t="s">
        <v>35</v>
      </c>
      <c r="I718" s="755"/>
      <c r="J718" s="36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"),0)</f>
        <v>0</v>
      </c>
      <c r="K718" s="37"/>
      <c r="L718" s="37"/>
      <c r="M718" s="185"/>
      <c r="N718" s="756"/>
      <c r="O718" s="37"/>
      <c r="P718" s="37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20.25" customHeight="1">
      <c r="A719" s="734"/>
      <c r="B719" s="568"/>
      <c r="C719" s="568"/>
      <c r="D719" s="568"/>
      <c r="E719" s="568"/>
      <c r="F719" s="568"/>
      <c r="G719" s="185"/>
      <c r="H719" s="178" t="s">
        <v>34</v>
      </c>
      <c r="I719" s="755"/>
      <c r="J719" s="36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"),0)</f>
        <v>0</v>
      </c>
      <c r="K719" s="37"/>
      <c r="L719" s="756"/>
      <c r="M719" s="185"/>
      <c r="N719" s="756"/>
      <c r="O719" s="37"/>
      <c r="P719" s="37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20.25" customHeight="1">
      <c r="A720" s="734"/>
      <c r="B720" s="568"/>
      <c r="C720" s="568"/>
      <c r="D720" s="568"/>
      <c r="E720" s="568"/>
      <c r="F720" s="568"/>
      <c r="G720" s="185"/>
      <c r="H720" s="178" t="s">
        <v>46</v>
      </c>
      <c r="I720" s="755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6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"),0)</f>
        <v>0</v>
      </c>
      <c r="K720" s="37">
        <f t="shared" ref="K720:K723" ca="1" si="330">IF(I720&gt;0,J720*100/I720,0)</f>
        <v>0</v>
      </c>
      <c r="L720" s="756"/>
      <c r="M720" s="185"/>
      <c r="N720" s="756"/>
      <c r="O720" s="37"/>
      <c r="P720" s="37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20.25" customHeight="1">
      <c r="A721" s="734"/>
      <c r="B721" s="568"/>
      <c r="C721" s="568"/>
      <c r="D721" s="569" t="s">
        <v>305</v>
      </c>
      <c r="E721" s="568"/>
      <c r="F721" s="568"/>
      <c r="G721" s="185"/>
      <c r="H721" s="742" t="s">
        <v>35</v>
      </c>
      <c r="I721" s="758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"),274)</f>
        <v>274</v>
      </c>
      <c r="J721" s="190">
        <f ca="1">J723+J726</f>
        <v>3</v>
      </c>
      <c r="K721" s="191">
        <f t="shared" ca="1" si="330"/>
        <v>1.0948905109489051</v>
      </c>
      <c r="L721" s="756"/>
      <c r="M721" s="185"/>
      <c r="N721" s="756"/>
      <c r="O721" s="37"/>
      <c r="P721" s="37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20.25" customHeight="1">
      <c r="A722" s="734"/>
      <c r="B722" s="568"/>
      <c r="C722" s="568"/>
      <c r="D722" s="568"/>
      <c r="E722" s="569"/>
      <c r="F722" s="568"/>
      <c r="G722" s="185"/>
      <c r="H722" s="742" t="s">
        <v>46</v>
      </c>
      <c r="I722" s="758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"),2871)</f>
        <v>2871</v>
      </c>
      <c r="J722" s="190">
        <f ca="1">J725+J728</f>
        <v>46.53</v>
      </c>
      <c r="K722" s="191">
        <f t="shared" ca="1" si="330"/>
        <v>1.6206896551724137</v>
      </c>
      <c r="L722" s="37"/>
      <c r="M722" s="185"/>
      <c r="N722" s="756"/>
      <c r="O722" s="37"/>
      <c r="P722" s="37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20.25" customHeight="1">
      <c r="A723" s="734"/>
      <c r="B723" s="568"/>
      <c r="C723" s="568"/>
      <c r="D723" s="568"/>
      <c r="E723" s="569" t="s">
        <v>306</v>
      </c>
      <c r="F723" s="568"/>
      <c r="G723" s="185"/>
      <c r="H723" s="178" t="s">
        <v>35</v>
      </c>
      <c r="I723" s="755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"),202)</f>
        <v>202</v>
      </c>
      <c r="J723" s="36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"),3)</f>
        <v>3</v>
      </c>
      <c r="K723" s="37">
        <f t="shared" ca="1" si="330"/>
        <v>1.4851485148514851</v>
      </c>
      <c r="L723" s="37"/>
      <c r="M723" s="185"/>
      <c r="N723" s="756"/>
      <c r="O723" s="37"/>
      <c r="P723" s="37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20.25" customHeight="1">
      <c r="A724" s="734"/>
      <c r="B724" s="568"/>
      <c r="C724" s="568"/>
      <c r="D724" s="568"/>
      <c r="E724" s="568"/>
      <c r="F724" s="568"/>
      <c r="G724" s="185"/>
      <c r="H724" s="178" t="s">
        <v>34</v>
      </c>
      <c r="I724" s="755"/>
      <c r="J724" s="36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"),3)</f>
        <v>3</v>
      </c>
      <c r="K724" s="37"/>
      <c r="L724" s="756"/>
      <c r="M724" s="185"/>
      <c r="N724" s="756"/>
      <c r="O724" s="37"/>
      <c r="P724" s="37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20.25" customHeight="1">
      <c r="A725" s="734"/>
      <c r="B725" s="568"/>
      <c r="C725" s="568"/>
      <c r="D725" s="568"/>
      <c r="E725" s="568"/>
      <c r="F725" s="568"/>
      <c r="G725" s="185"/>
      <c r="H725" s="178" t="s">
        <v>46</v>
      </c>
      <c r="I725" s="755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"),2168)</f>
        <v>2168</v>
      </c>
      <c r="J725" s="36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"),46.53)</f>
        <v>46.53</v>
      </c>
      <c r="K725" s="37">
        <f t="shared" ref="K725:K726" ca="1" si="331">IF(I725&gt;0,J725*100/I725,0)</f>
        <v>2.1462177121771218</v>
      </c>
      <c r="L725" s="756"/>
      <c r="M725" s="185"/>
      <c r="N725" s="756"/>
      <c r="O725" s="37"/>
      <c r="P725" s="37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20.25" customHeight="1">
      <c r="A726" s="734"/>
      <c r="B726" s="568"/>
      <c r="C726" s="568"/>
      <c r="D726" s="568"/>
      <c r="E726" s="569" t="s">
        <v>307</v>
      </c>
      <c r="F726" s="568"/>
      <c r="G726" s="185"/>
      <c r="H726" s="178" t="s">
        <v>35</v>
      </c>
      <c r="I726" s="755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"),72)</f>
        <v>72</v>
      </c>
      <c r="J726" s="36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"),0)</f>
        <v>0</v>
      </c>
      <c r="K726" s="37">
        <f t="shared" ca="1" si="331"/>
        <v>0</v>
      </c>
      <c r="L726" s="37"/>
      <c r="M726" s="185"/>
      <c r="N726" s="756"/>
      <c r="O726" s="37"/>
      <c r="P726" s="37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20.25" customHeight="1">
      <c r="A727" s="734"/>
      <c r="B727" s="568"/>
      <c r="C727" s="568"/>
      <c r="D727" s="568"/>
      <c r="E727" s="568"/>
      <c r="F727" s="568"/>
      <c r="G727" s="185"/>
      <c r="H727" s="178" t="s">
        <v>34</v>
      </c>
      <c r="I727" s="755"/>
      <c r="J727" s="36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"),0)</f>
        <v>0</v>
      </c>
      <c r="K727" s="37"/>
      <c r="L727" s="756"/>
      <c r="M727" s="185"/>
      <c r="N727" s="756"/>
      <c r="O727" s="37"/>
      <c r="P727" s="37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20.25" customHeight="1">
      <c r="A728" s="734"/>
      <c r="B728" s="568"/>
      <c r="C728" s="568"/>
      <c r="D728" s="568"/>
      <c r="E728" s="568"/>
      <c r="F728" s="568"/>
      <c r="G728" s="185"/>
      <c r="H728" s="178" t="s">
        <v>46</v>
      </c>
      <c r="I728" s="755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"),703)</f>
        <v>703</v>
      </c>
      <c r="J728" s="36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"),0)</f>
        <v>0</v>
      </c>
      <c r="K728" s="37">
        <f t="shared" ref="K728:K729" ca="1" si="332">IF(I728&gt;0,J728*100/I728,0)</f>
        <v>0</v>
      </c>
      <c r="L728" s="756"/>
      <c r="M728" s="185"/>
      <c r="N728" s="756"/>
      <c r="O728" s="37"/>
      <c r="P728" s="37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20.25" customHeight="1">
      <c r="A729" s="734"/>
      <c r="B729" s="568"/>
      <c r="C729" s="568"/>
      <c r="D729" s="569" t="s">
        <v>308</v>
      </c>
      <c r="E729" s="568"/>
      <c r="F729" s="568"/>
      <c r="G729" s="185"/>
      <c r="H729" s="188" t="s">
        <v>46</v>
      </c>
      <c r="I729" s="758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0">
        <f ca="1">J732+J735</f>
        <v>0</v>
      </c>
      <c r="K729" s="191">
        <f t="shared" ca="1" si="332"/>
        <v>0</v>
      </c>
      <c r="L729" s="37"/>
      <c r="M729" s="185"/>
      <c r="N729" s="756"/>
      <c r="O729" s="37"/>
      <c r="P729" s="37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20.25" customHeight="1">
      <c r="A730" s="734"/>
      <c r="B730" s="568"/>
      <c r="C730" s="568"/>
      <c r="D730" s="568"/>
      <c r="E730" s="569" t="s">
        <v>309</v>
      </c>
      <c r="F730" s="568"/>
      <c r="G730" s="185"/>
      <c r="H730" s="178" t="s">
        <v>35</v>
      </c>
      <c r="I730" s="755"/>
      <c r="J730" s="179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"),0)</f>
        <v>0</v>
      </c>
      <c r="K730" s="37"/>
      <c r="L730" s="756"/>
      <c r="M730" s="37"/>
      <c r="N730" s="756"/>
      <c r="O730" s="37"/>
      <c r="P730" s="37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20.25" customHeight="1">
      <c r="A731" s="734"/>
      <c r="B731" s="568"/>
      <c r="C731" s="568"/>
      <c r="D731" s="568"/>
      <c r="E731" s="568"/>
      <c r="F731" s="568"/>
      <c r="G731" s="185"/>
      <c r="H731" s="178" t="s">
        <v>34</v>
      </c>
      <c r="I731" s="755"/>
      <c r="J731" s="179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"),0)</f>
        <v>0</v>
      </c>
      <c r="K731" s="37"/>
      <c r="L731" s="756"/>
      <c r="M731" s="37"/>
      <c r="N731" s="756"/>
      <c r="O731" s="37"/>
      <c r="P731" s="37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20.25" customHeight="1">
      <c r="A732" s="734"/>
      <c r="B732" s="568"/>
      <c r="C732" s="568"/>
      <c r="D732" s="568"/>
      <c r="E732" s="568"/>
      <c r="F732" s="568"/>
      <c r="G732" s="185"/>
      <c r="H732" s="178" t="s">
        <v>46</v>
      </c>
      <c r="I732" s="755"/>
      <c r="J732" s="179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"),0)</f>
        <v>0</v>
      </c>
      <c r="K732" s="37"/>
      <c r="L732" s="756"/>
      <c r="M732" s="37"/>
      <c r="N732" s="756"/>
      <c r="O732" s="37"/>
      <c r="P732" s="37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20.25" customHeight="1">
      <c r="A733" s="734"/>
      <c r="B733" s="568"/>
      <c r="C733" s="568"/>
      <c r="D733" s="568"/>
      <c r="E733" s="569" t="s">
        <v>310</v>
      </c>
      <c r="F733" s="568"/>
      <c r="G733" s="185"/>
      <c r="H733" s="178" t="s">
        <v>35</v>
      </c>
      <c r="I733" s="755"/>
      <c r="J733" s="179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"),0)</f>
        <v>0</v>
      </c>
      <c r="K733" s="37"/>
      <c r="L733" s="756"/>
      <c r="M733" s="37"/>
      <c r="N733" s="756"/>
      <c r="O733" s="37"/>
      <c r="P733" s="37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20.25" customHeight="1">
      <c r="A734" s="734"/>
      <c r="B734" s="568"/>
      <c r="C734" s="568"/>
      <c r="D734" s="568"/>
      <c r="E734" s="568"/>
      <c r="F734" s="568"/>
      <c r="G734" s="185"/>
      <c r="H734" s="178" t="s">
        <v>34</v>
      </c>
      <c r="I734" s="755"/>
      <c r="J734" s="179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"),0)</f>
        <v>0</v>
      </c>
      <c r="K734" s="37"/>
      <c r="L734" s="756"/>
      <c r="M734" s="37"/>
      <c r="N734" s="756"/>
      <c r="O734" s="37"/>
      <c r="P734" s="37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20.25" customHeight="1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"),0)</f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20.25" hidden="1" customHeight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20.25" hidden="1" customHeight="1">
      <c r="A737" s="591"/>
      <c r="B737" s="592"/>
      <c r="C737" s="592" t="s">
        <v>16</v>
      </c>
      <c r="D737" s="850" t="s">
        <v>17</v>
      </c>
      <c r="E737" s="846"/>
      <c r="F737" s="846"/>
      <c r="G737" s="595"/>
      <c r="H737" s="638" t="s">
        <v>12</v>
      </c>
      <c r="I737" s="43"/>
      <c r="J737" s="43"/>
      <c r="K737" s="44"/>
      <c r="L737" s="639">
        <f t="shared" ref="L737:N737" si="333">L738+L739</f>
        <v>0</v>
      </c>
      <c r="M737" s="639">
        <f t="shared" si="333"/>
        <v>0</v>
      </c>
      <c r="N737" s="639">
        <f t="shared" si="333"/>
        <v>0</v>
      </c>
      <c r="O737" s="639">
        <f t="shared" ref="O737:O742" si="334">IF(L737&gt;0,N737*100/L737,0)</f>
        <v>0</v>
      </c>
      <c r="P737" s="639">
        <f t="shared" ref="P737:P742" si="33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20.25" hidden="1" customHeight="1">
      <c r="A738" s="591"/>
      <c r="B738" s="592"/>
      <c r="C738" s="592"/>
      <c r="D738" s="593"/>
      <c r="E738" s="594" t="s">
        <v>184</v>
      </c>
      <c r="F738" s="592"/>
      <c r="G738" s="595"/>
      <c r="H738" s="161" t="s">
        <v>12</v>
      </c>
      <c r="I738" s="43"/>
      <c r="J738" s="43"/>
      <c r="K738" s="44"/>
      <c r="L738" s="44">
        <f t="shared" ref="L738:N738" si="336">L741+L748</f>
        <v>0</v>
      </c>
      <c r="M738" s="44">
        <f t="shared" si="336"/>
        <v>0</v>
      </c>
      <c r="N738" s="44">
        <f t="shared" si="336"/>
        <v>0</v>
      </c>
      <c r="O738" s="44">
        <f t="shared" si="334"/>
        <v>0</v>
      </c>
      <c r="P738" s="44">
        <f t="shared" si="33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20.25" hidden="1" customHeight="1">
      <c r="A739" s="591"/>
      <c r="B739" s="597"/>
      <c r="C739" s="592"/>
      <c r="D739" s="593"/>
      <c r="E739" s="594" t="s">
        <v>185</v>
      </c>
      <c r="F739" s="592"/>
      <c r="G739" s="595"/>
      <c r="H739" s="161" t="s">
        <v>12</v>
      </c>
      <c r="I739" s="43"/>
      <c r="J739" s="43"/>
      <c r="K739" s="44"/>
      <c r="L739" s="44">
        <f t="shared" ref="L739:N739" si="337">L742+L749</f>
        <v>0</v>
      </c>
      <c r="M739" s="44">
        <f t="shared" si="337"/>
        <v>0</v>
      </c>
      <c r="N739" s="44">
        <f t="shared" si="337"/>
        <v>0</v>
      </c>
      <c r="O739" s="44">
        <f t="shared" si="334"/>
        <v>0</v>
      </c>
      <c r="P739" s="44">
        <f t="shared" si="33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20.25" hidden="1" customHeight="1">
      <c r="A740" s="591"/>
      <c r="B740" s="597"/>
      <c r="C740" s="592"/>
      <c r="D740" s="772" t="s">
        <v>20</v>
      </c>
      <c r="E740" s="592"/>
      <c r="F740" s="592"/>
      <c r="G740" s="595"/>
      <c r="H740" s="638" t="s">
        <v>12</v>
      </c>
      <c r="I740" s="162"/>
      <c r="J740" s="162"/>
      <c r="K740" s="163"/>
      <c r="L740" s="639">
        <f t="shared" ref="L740:N740" si="338">L741+L742</f>
        <v>0</v>
      </c>
      <c r="M740" s="639">
        <f t="shared" si="338"/>
        <v>0</v>
      </c>
      <c r="N740" s="639">
        <f t="shared" si="338"/>
        <v>0</v>
      </c>
      <c r="O740" s="639">
        <f t="shared" si="334"/>
        <v>0</v>
      </c>
      <c r="P740" s="639">
        <f t="shared" si="33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20.25" hidden="1" customHeight="1">
      <c r="A741" s="591"/>
      <c r="B741" s="597"/>
      <c r="C741" s="592"/>
      <c r="D741" s="593"/>
      <c r="E741" s="594" t="s">
        <v>184</v>
      </c>
      <c r="F741" s="592"/>
      <c r="G741" s="595"/>
      <c r="H741" s="161" t="s">
        <v>12</v>
      </c>
      <c r="I741" s="43"/>
      <c r="J741" s="43"/>
      <c r="K741" s="44"/>
      <c r="L741" s="90">
        <v>0</v>
      </c>
      <c r="M741" s="90">
        <v>0</v>
      </c>
      <c r="N741" s="90">
        <v>0</v>
      </c>
      <c r="O741" s="44">
        <f t="shared" si="334"/>
        <v>0</v>
      </c>
      <c r="P741" s="44">
        <f t="shared" si="33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20.25" hidden="1" customHeight="1">
      <c r="A742" s="591"/>
      <c r="B742" s="597"/>
      <c r="C742" s="592"/>
      <c r="D742" s="593"/>
      <c r="E742" s="594" t="s">
        <v>185</v>
      </c>
      <c r="F742" s="592"/>
      <c r="G742" s="595"/>
      <c r="H742" s="161" t="s">
        <v>12</v>
      </c>
      <c r="I742" s="43"/>
      <c r="J742" s="43"/>
      <c r="K742" s="44"/>
      <c r="L742" s="90">
        <v>0</v>
      </c>
      <c r="M742" s="90">
        <v>0</v>
      </c>
      <c r="N742" s="44">
        <f>N743+N744+N745+N746</f>
        <v>0</v>
      </c>
      <c r="O742" s="44">
        <f t="shared" si="334"/>
        <v>0</v>
      </c>
      <c r="P742" s="44">
        <f t="shared" si="33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20.25" hidden="1" customHeight="1">
      <c r="A743" s="641"/>
      <c r="B743" s="597"/>
      <c r="C743" s="592"/>
      <c r="D743" s="592"/>
      <c r="E743" s="592"/>
      <c r="F743" s="594" t="s">
        <v>186</v>
      </c>
      <c r="G743" s="595"/>
      <c r="H743" s="161" t="s">
        <v>12</v>
      </c>
      <c r="I743" s="43"/>
      <c r="J743" s="43"/>
      <c r="K743" s="44"/>
      <c r="L743" s="44"/>
      <c r="M743" s="44"/>
      <c r="N743" s="44"/>
      <c r="O743" s="44"/>
      <c r="P743" s="44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20.25" hidden="1" customHeight="1">
      <c r="A744" s="641"/>
      <c r="B744" s="597"/>
      <c r="C744" s="592"/>
      <c r="D744" s="592"/>
      <c r="E744" s="592"/>
      <c r="F744" s="594" t="s">
        <v>187</v>
      </c>
      <c r="G744" s="595"/>
      <c r="H744" s="161" t="s">
        <v>12</v>
      </c>
      <c r="I744" s="43"/>
      <c r="J744" s="43"/>
      <c r="K744" s="44"/>
      <c r="L744" s="44"/>
      <c r="M744" s="44"/>
      <c r="N744" s="44"/>
      <c r="O744" s="44"/>
      <c r="P744" s="44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20.25" hidden="1" customHeight="1">
      <c r="A745" s="641"/>
      <c r="B745" s="597"/>
      <c r="C745" s="592"/>
      <c r="D745" s="592"/>
      <c r="E745" s="592"/>
      <c r="F745" s="594" t="s">
        <v>188</v>
      </c>
      <c r="G745" s="595"/>
      <c r="H745" s="161" t="s">
        <v>12</v>
      </c>
      <c r="I745" s="43"/>
      <c r="J745" s="43"/>
      <c r="K745" s="44"/>
      <c r="L745" s="44"/>
      <c r="M745" s="44"/>
      <c r="N745" s="44"/>
      <c r="O745" s="44"/>
      <c r="P745" s="44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20.25" hidden="1" customHeight="1">
      <c r="A746" s="641"/>
      <c r="B746" s="597"/>
      <c r="C746" s="592"/>
      <c r="D746" s="592"/>
      <c r="E746" s="592"/>
      <c r="F746" s="594" t="s">
        <v>189</v>
      </c>
      <c r="G746" s="595"/>
      <c r="H746" s="161" t="s">
        <v>12</v>
      </c>
      <c r="I746" s="43"/>
      <c r="J746" s="43"/>
      <c r="K746" s="44"/>
      <c r="L746" s="44"/>
      <c r="M746" s="44"/>
      <c r="N746" s="44"/>
      <c r="O746" s="44"/>
      <c r="P746" s="44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20.25" hidden="1" customHeight="1">
      <c r="A747" s="591"/>
      <c r="B747" s="597"/>
      <c r="C747" s="592"/>
      <c r="D747" s="772" t="s">
        <v>21</v>
      </c>
      <c r="E747" s="592"/>
      <c r="F747" s="592"/>
      <c r="G747" s="595"/>
      <c r="H747" s="773" t="s">
        <v>12</v>
      </c>
      <c r="I747" s="162"/>
      <c r="J747" s="162"/>
      <c r="K747" s="163"/>
      <c r="L747" s="639">
        <f t="shared" ref="L747:N747" si="339">L748+L749</f>
        <v>0</v>
      </c>
      <c r="M747" s="639">
        <f t="shared" si="339"/>
        <v>0</v>
      </c>
      <c r="N747" s="639">
        <f t="shared" si="339"/>
        <v>0</v>
      </c>
      <c r="O747" s="639">
        <f t="shared" ref="O747:O749" si="340">IF(L747&gt;0,N747*100/L747,0)</f>
        <v>0</v>
      </c>
      <c r="P747" s="639">
        <f t="shared" ref="P747:P749" si="341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20.25" hidden="1" customHeight="1">
      <c r="A748" s="591"/>
      <c r="B748" s="597"/>
      <c r="C748" s="592"/>
      <c r="D748" s="592"/>
      <c r="E748" s="594" t="s">
        <v>18</v>
      </c>
      <c r="F748" s="592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44">
        <f t="shared" si="340"/>
        <v>0</v>
      </c>
      <c r="P748" s="44">
        <f t="shared" si="341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20.25" hidden="1" customHeight="1">
      <c r="A749" s="591"/>
      <c r="B749" s="597"/>
      <c r="C749" s="592"/>
      <c r="D749" s="592"/>
      <c r="E749" s="594" t="s">
        <v>19</v>
      </c>
      <c r="F749" s="592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44">
        <f t="shared" si="340"/>
        <v>0</v>
      </c>
      <c r="P749" s="44">
        <f t="shared" si="341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20.25" hidden="1" customHeight="1">
      <c r="A750" s="606"/>
      <c r="B750" s="607"/>
      <c r="C750" s="592" t="s">
        <v>16</v>
      </c>
      <c r="D750" s="774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20.25" hidden="1" customHeight="1">
      <c r="A751" s="641"/>
      <c r="B751" s="597"/>
      <c r="C751" s="592"/>
      <c r="D751" s="592"/>
      <c r="E751" s="594" t="s">
        <v>313</v>
      </c>
      <c r="F751" s="592"/>
      <c r="G751" s="595"/>
      <c r="H751" s="161" t="s">
        <v>46</v>
      </c>
      <c r="I751" s="43"/>
      <c r="J751" s="43"/>
      <c r="K751" s="44"/>
      <c r="L751" s="44"/>
      <c r="M751" s="44"/>
      <c r="N751" s="44"/>
      <c r="O751" s="44"/>
      <c r="P751" s="44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20.25" hidden="1" customHeight="1">
      <c r="A752" s="641"/>
      <c r="B752" s="597"/>
      <c r="C752" s="592"/>
      <c r="D752" s="592"/>
      <c r="E752" s="592"/>
      <c r="F752" s="592"/>
      <c r="G752" s="595"/>
      <c r="H752" s="161" t="s">
        <v>314</v>
      </c>
      <c r="I752" s="43"/>
      <c r="J752" s="43"/>
      <c r="K752" s="44"/>
      <c r="L752" s="44"/>
      <c r="M752" s="44"/>
      <c r="N752" s="44"/>
      <c r="O752" s="44"/>
      <c r="P752" s="44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20.25" hidden="1" customHeight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20.25" hidden="1" customHeight="1">
      <c r="A754" s="591"/>
      <c r="B754" s="592"/>
      <c r="C754" s="592" t="s">
        <v>16</v>
      </c>
      <c r="D754" s="850" t="s">
        <v>17</v>
      </c>
      <c r="E754" s="846"/>
      <c r="F754" s="846"/>
      <c r="G754" s="595"/>
      <c r="H754" s="638" t="s">
        <v>12</v>
      </c>
      <c r="I754" s="43"/>
      <c r="J754" s="43"/>
      <c r="K754" s="44"/>
      <c r="L754" s="639">
        <f t="shared" ref="L754:N754" si="342">L755+L756</f>
        <v>0</v>
      </c>
      <c r="M754" s="639">
        <f t="shared" si="342"/>
        <v>0</v>
      </c>
      <c r="N754" s="639">
        <f t="shared" si="342"/>
        <v>0</v>
      </c>
      <c r="O754" s="639">
        <f t="shared" ref="O754:O759" si="343">IF(L754&gt;0,N754*100/L754,0)</f>
        <v>0</v>
      </c>
      <c r="P754" s="639">
        <f t="shared" ref="P754:P759" si="344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20.25" hidden="1" customHeight="1">
      <c r="A755" s="591"/>
      <c r="B755" s="592"/>
      <c r="C755" s="592"/>
      <c r="D755" s="593"/>
      <c r="E755" s="594" t="s">
        <v>184</v>
      </c>
      <c r="F755" s="592"/>
      <c r="G755" s="595"/>
      <c r="H755" s="161" t="s">
        <v>12</v>
      </c>
      <c r="I755" s="43"/>
      <c r="J755" s="43"/>
      <c r="K755" s="44"/>
      <c r="L755" s="44">
        <f t="shared" ref="L755:N755" si="345">L758+L765</f>
        <v>0</v>
      </c>
      <c r="M755" s="44">
        <f t="shared" si="345"/>
        <v>0</v>
      </c>
      <c r="N755" s="44">
        <f t="shared" si="345"/>
        <v>0</v>
      </c>
      <c r="O755" s="44">
        <f t="shared" si="343"/>
        <v>0</v>
      </c>
      <c r="P755" s="44">
        <f t="shared" si="344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20.25" hidden="1" customHeight="1">
      <c r="A756" s="591"/>
      <c r="B756" s="597"/>
      <c r="C756" s="592"/>
      <c r="D756" s="593"/>
      <c r="E756" s="594" t="s">
        <v>185</v>
      </c>
      <c r="F756" s="592"/>
      <c r="G756" s="595"/>
      <c r="H756" s="161" t="s">
        <v>12</v>
      </c>
      <c r="I756" s="43"/>
      <c r="J756" s="43"/>
      <c r="K756" s="44"/>
      <c r="L756" s="44">
        <f t="shared" ref="L756:N756" si="346">L759+L766</f>
        <v>0</v>
      </c>
      <c r="M756" s="44">
        <f t="shared" si="346"/>
        <v>0</v>
      </c>
      <c r="N756" s="44">
        <f t="shared" si="346"/>
        <v>0</v>
      </c>
      <c r="O756" s="44">
        <f t="shared" si="343"/>
        <v>0</v>
      </c>
      <c r="P756" s="44">
        <f t="shared" si="344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20.25" hidden="1" customHeight="1">
      <c r="A757" s="591"/>
      <c r="B757" s="597"/>
      <c r="C757" s="592"/>
      <c r="D757" s="772" t="s">
        <v>20</v>
      </c>
      <c r="E757" s="592"/>
      <c r="F757" s="592"/>
      <c r="G757" s="595"/>
      <c r="H757" s="638" t="s">
        <v>12</v>
      </c>
      <c r="I757" s="162"/>
      <c r="J757" s="162"/>
      <c r="K757" s="163"/>
      <c r="L757" s="639">
        <f t="shared" ref="L757:N757" si="347">L758+L759</f>
        <v>0</v>
      </c>
      <c r="M757" s="639">
        <f t="shared" si="347"/>
        <v>0</v>
      </c>
      <c r="N757" s="639">
        <f t="shared" si="347"/>
        <v>0</v>
      </c>
      <c r="O757" s="639">
        <f t="shared" si="343"/>
        <v>0</v>
      </c>
      <c r="P757" s="639">
        <f t="shared" si="344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20.25" hidden="1" customHeight="1">
      <c r="A758" s="591"/>
      <c r="B758" s="597"/>
      <c r="C758" s="592"/>
      <c r="D758" s="593"/>
      <c r="E758" s="594" t="s">
        <v>184</v>
      </c>
      <c r="F758" s="592"/>
      <c r="G758" s="595"/>
      <c r="H758" s="161" t="s">
        <v>12</v>
      </c>
      <c r="I758" s="43"/>
      <c r="J758" s="43"/>
      <c r="K758" s="44"/>
      <c r="L758" s="90">
        <v>0</v>
      </c>
      <c r="M758" s="90">
        <v>0</v>
      </c>
      <c r="N758" s="90">
        <v>0</v>
      </c>
      <c r="O758" s="44">
        <f t="shared" si="343"/>
        <v>0</v>
      </c>
      <c r="P758" s="44">
        <f t="shared" si="344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20.25" hidden="1" customHeight="1">
      <c r="A759" s="591"/>
      <c r="B759" s="597"/>
      <c r="C759" s="592"/>
      <c r="D759" s="593"/>
      <c r="E759" s="594" t="s">
        <v>185</v>
      </c>
      <c r="F759" s="592"/>
      <c r="G759" s="595"/>
      <c r="H759" s="161" t="s">
        <v>12</v>
      </c>
      <c r="I759" s="43"/>
      <c r="J759" s="43"/>
      <c r="K759" s="44"/>
      <c r="L759" s="90">
        <v>0</v>
      </c>
      <c r="M759" s="90">
        <v>0</v>
      </c>
      <c r="N759" s="44">
        <f>N760+N761+N762+N763</f>
        <v>0</v>
      </c>
      <c r="O759" s="44">
        <f t="shared" si="343"/>
        <v>0</v>
      </c>
      <c r="P759" s="44">
        <f t="shared" si="344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20.25" hidden="1" customHeight="1">
      <c r="A760" s="641"/>
      <c r="B760" s="597"/>
      <c r="C760" s="592"/>
      <c r="D760" s="592"/>
      <c r="E760" s="592"/>
      <c r="F760" s="594" t="s">
        <v>186</v>
      </c>
      <c r="G760" s="595"/>
      <c r="H760" s="161" t="s">
        <v>12</v>
      </c>
      <c r="I760" s="43"/>
      <c r="J760" s="43"/>
      <c r="K760" s="44"/>
      <c r="L760" s="90"/>
      <c r="M760" s="44"/>
      <c r="N760" s="44"/>
      <c r="O760" s="44"/>
      <c r="P760" s="44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20.25" hidden="1" customHeight="1">
      <c r="A761" s="641"/>
      <c r="B761" s="597"/>
      <c r="C761" s="592"/>
      <c r="D761" s="592"/>
      <c r="E761" s="592"/>
      <c r="F761" s="594" t="s">
        <v>187</v>
      </c>
      <c r="G761" s="595"/>
      <c r="H761" s="161" t="s">
        <v>12</v>
      </c>
      <c r="I761" s="43"/>
      <c r="J761" s="43"/>
      <c r="K761" s="44"/>
      <c r="L761" s="44"/>
      <c r="M761" s="44"/>
      <c r="N761" s="44"/>
      <c r="O761" s="44"/>
      <c r="P761" s="44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20.25" hidden="1" customHeight="1">
      <c r="A762" s="641"/>
      <c r="B762" s="597"/>
      <c r="C762" s="592"/>
      <c r="D762" s="592"/>
      <c r="E762" s="592"/>
      <c r="F762" s="594" t="s">
        <v>188</v>
      </c>
      <c r="G762" s="595"/>
      <c r="H762" s="161" t="s">
        <v>12</v>
      </c>
      <c r="I762" s="43"/>
      <c r="J762" s="43"/>
      <c r="K762" s="44"/>
      <c r="L762" s="44"/>
      <c r="M762" s="44"/>
      <c r="N762" s="44"/>
      <c r="O762" s="44"/>
      <c r="P762" s="44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20.25" hidden="1" customHeight="1">
      <c r="A763" s="641"/>
      <c r="B763" s="597"/>
      <c r="C763" s="592"/>
      <c r="D763" s="592"/>
      <c r="E763" s="592"/>
      <c r="F763" s="594" t="s">
        <v>189</v>
      </c>
      <c r="G763" s="595"/>
      <c r="H763" s="161" t="s">
        <v>12</v>
      </c>
      <c r="I763" s="43"/>
      <c r="J763" s="43"/>
      <c r="K763" s="44"/>
      <c r="L763" s="44"/>
      <c r="M763" s="44"/>
      <c r="N763" s="44"/>
      <c r="O763" s="44"/>
      <c r="P763" s="44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20.25" hidden="1" customHeight="1">
      <c r="A764" s="591"/>
      <c r="B764" s="597"/>
      <c r="C764" s="592"/>
      <c r="D764" s="772" t="s">
        <v>21</v>
      </c>
      <c r="E764" s="592"/>
      <c r="F764" s="592"/>
      <c r="G764" s="595"/>
      <c r="H764" s="773" t="s">
        <v>12</v>
      </c>
      <c r="I764" s="162"/>
      <c r="J764" s="162"/>
      <c r="K764" s="163"/>
      <c r="L764" s="639">
        <f t="shared" ref="L764:N764" si="348">L765+L766</f>
        <v>0</v>
      </c>
      <c r="M764" s="639">
        <f t="shared" si="348"/>
        <v>0</v>
      </c>
      <c r="N764" s="639">
        <f t="shared" si="348"/>
        <v>0</v>
      </c>
      <c r="O764" s="639">
        <f t="shared" ref="O764:O766" si="349">IF(L764&gt;0,N764*100/L764,0)</f>
        <v>0</v>
      </c>
      <c r="P764" s="639">
        <f t="shared" ref="P764:P766" si="350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20.25" hidden="1" customHeight="1">
      <c r="A765" s="591"/>
      <c r="B765" s="597"/>
      <c r="C765" s="592"/>
      <c r="D765" s="592"/>
      <c r="E765" s="594" t="s">
        <v>18</v>
      </c>
      <c r="F765" s="592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44">
        <f t="shared" si="349"/>
        <v>0</v>
      </c>
      <c r="P765" s="44">
        <f t="shared" si="350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20.25" hidden="1" customHeight="1">
      <c r="A766" s="591"/>
      <c r="B766" s="597"/>
      <c r="C766" s="592"/>
      <c r="D766" s="592"/>
      <c r="E766" s="594" t="s">
        <v>19</v>
      </c>
      <c r="F766" s="592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44">
        <f t="shared" si="349"/>
        <v>0</v>
      </c>
      <c r="P766" s="44">
        <f t="shared" si="350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20.25" hidden="1" customHeight="1">
      <c r="A767" s="606"/>
      <c r="B767" s="607"/>
      <c r="C767" s="592" t="s">
        <v>16</v>
      </c>
      <c r="D767" s="774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20.25" hidden="1" customHeight="1">
      <c r="A768" s="641"/>
      <c r="B768" s="597"/>
      <c r="C768" s="592"/>
      <c r="D768" s="592"/>
      <c r="E768" s="594" t="s">
        <v>316</v>
      </c>
      <c r="F768" s="592"/>
      <c r="G768" s="595"/>
      <c r="H768" s="161" t="s">
        <v>46</v>
      </c>
      <c r="I768" s="43"/>
      <c r="J768" s="43"/>
      <c r="K768" s="44"/>
      <c r="L768" s="44"/>
      <c r="M768" s="44"/>
      <c r="N768" s="44"/>
      <c r="O768" s="44"/>
      <c r="P768" s="44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20.25" hidden="1" customHeight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20.25" hidden="1" customHeight="1">
      <c r="A770" s="591"/>
      <c r="B770" s="592"/>
      <c r="C770" s="592" t="s">
        <v>16</v>
      </c>
      <c r="D770" s="850" t="s">
        <v>17</v>
      </c>
      <c r="E770" s="846"/>
      <c r="F770" s="846"/>
      <c r="G770" s="595"/>
      <c r="H770" s="638" t="s">
        <v>12</v>
      </c>
      <c r="I770" s="43"/>
      <c r="J770" s="43"/>
      <c r="K770" s="44"/>
      <c r="L770" s="639">
        <f t="shared" ref="L770:N770" si="351">L771+L772</f>
        <v>0</v>
      </c>
      <c r="M770" s="639">
        <f t="shared" si="351"/>
        <v>0</v>
      </c>
      <c r="N770" s="639">
        <f t="shared" si="351"/>
        <v>0</v>
      </c>
      <c r="O770" s="639">
        <f t="shared" ref="O770:O775" si="352">IF(L770&gt;0,N770*100/L770,0)</f>
        <v>0</v>
      </c>
      <c r="P770" s="639">
        <f t="shared" ref="P770:P775" si="353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20.25" hidden="1" customHeight="1">
      <c r="A771" s="591"/>
      <c r="B771" s="592"/>
      <c r="C771" s="592"/>
      <c r="D771" s="593"/>
      <c r="E771" s="594" t="s">
        <v>184</v>
      </c>
      <c r="F771" s="592"/>
      <c r="G771" s="595"/>
      <c r="H771" s="161" t="s">
        <v>12</v>
      </c>
      <c r="I771" s="43"/>
      <c r="J771" s="43"/>
      <c r="K771" s="44"/>
      <c r="L771" s="44">
        <f t="shared" ref="L771:N771" si="354">L774+L781</f>
        <v>0</v>
      </c>
      <c r="M771" s="44">
        <f t="shared" si="354"/>
        <v>0</v>
      </c>
      <c r="N771" s="44">
        <f t="shared" si="354"/>
        <v>0</v>
      </c>
      <c r="O771" s="44">
        <f t="shared" si="352"/>
        <v>0</v>
      </c>
      <c r="P771" s="44">
        <f t="shared" si="353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20.25" hidden="1" customHeight="1">
      <c r="A772" s="591"/>
      <c r="B772" s="597"/>
      <c r="C772" s="592"/>
      <c r="D772" s="593"/>
      <c r="E772" s="594" t="s">
        <v>185</v>
      </c>
      <c r="F772" s="592"/>
      <c r="G772" s="595"/>
      <c r="H772" s="161" t="s">
        <v>12</v>
      </c>
      <c r="I772" s="43"/>
      <c r="J772" s="43"/>
      <c r="K772" s="44"/>
      <c r="L772" s="44">
        <f t="shared" ref="L772:N772" si="355">L775+L782</f>
        <v>0</v>
      </c>
      <c r="M772" s="44">
        <f t="shared" si="355"/>
        <v>0</v>
      </c>
      <c r="N772" s="44">
        <f t="shared" si="355"/>
        <v>0</v>
      </c>
      <c r="O772" s="44">
        <f t="shared" si="352"/>
        <v>0</v>
      </c>
      <c r="P772" s="44">
        <f t="shared" si="353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20.25" hidden="1" customHeight="1">
      <c r="A773" s="591"/>
      <c r="B773" s="597"/>
      <c r="C773" s="592"/>
      <c r="D773" s="772" t="s">
        <v>20</v>
      </c>
      <c r="E773" s="592"/>
      <c r="F773" s="592"/>
      <c r="G773" s="595"/>
      <c r="H773" s="638" t="s">
        <v>12</v>
      </c>
      <c r="I773" s="162"/>
      <c r="J773" s="162"/>
      <c r="K773" s="163"/>
      <c r="L773" s="639">
        <f t="shared" ref="L773:N773" si="356">L774+L775</f>
        <v>0</v>
      </c>
      <c r="M773" s="639">
        <f t="shared" si="356"/>
        <v>0</v>
      </c>
      <c r="N773" s="639">
        <f t="shared" si="356"/>
        <v>0</v>
      </c>
      <c r="O773" s="639">
        <f t="shared" si="352"/>
        <v>0</v>
      </c>
      <c r="P773" s="639">
        <f t="shared" si="353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20.25" hidden="1" customHeight="1">
      <c r="A774" s="591"/>
      <c r="B774" s="597"/>
      <c r="C774" s="592"/>
      <c r="D774" s="593"/>
      <c r="E774" s="594" t="s">
        <v>184</v>
      </c>
      <c r="F774" s="592"/>
      <c r="G774" s="595"/>
      <c r="H774" s="161" t="s">
        <v>12</v>
      </c>
      <c r="I774" s="43"/>
      <c r="J774" s="43"/>
      <c r="K774" s="44"/>
      <c r="L774" s="90">
        <v>0</v>
      </c>
      <c r="M774" s="90">
        <v>0</v>
      </c>
      <c r="N774" s="90">
        <v>0</v>
      </c>
      <c r="O774" s="44">
        <f t="shared" si="352"/>
        <v>0</v>
      </c>
      <c r="P774" s="44">
        <f t="shared" si="353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20.25" hidden="1" customHeight="1">
      <c r="A775" s="591"/>
      <c r="B775" s="597"/>
      <c r="C775" s="592"/>
      <c r="D775" s="593"/>
      <c r="E775" s="594" t="s">
        <v>185</v>
      </c>
      <c r="F775" s="592"/>
      <c r="G775" s="595"/>
      <c r="H775" s="161" t="s">
        <v>12</v>
      </c>
      <c r="I775" s="43"/>
      <c r="J775" s="43"/>
      <c r="K775" s="44"/>
      <c r="L775" s="90">
        <v>0</v>
      </c>
      <c r="M775" s="90">
        <v>0</v>
      </c>
      <c r="N775" s="44">
        <f>N776+N777+N778+N779</f>
        <v>0</v>
      </c>
      <c r="O775" s="44">
        <f t="shared" si="352"/>
        <v>0</v>
      </c>
      <c r="P775" s="44">
        <f t="shared" si="353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20.25" hidden="1" customHeight="1">
      <c r="A776" s="641"/>
      <c r="B776" s="597"/>
      <c r="C776" s="592"/>
      <c r="D776" s="592"/>
      <c r="E776" s="592"/>
      <c r="F776" s="594" t="s">
        <v>186</v>
      </c>
      <c r="G776" s="595"/>
      <c r="H776" s="161" t="s">
        <v>12</v>
      </c>
      <c r="I776" s="43"/>
      <c r="J776" s="43"/>
      <c r="K776" s="44"/>
      <c r="L776" s="44"/>
      <c r="M776" s="44"/>
      <c r="N776" s="44"/>
      <c r="O776" s="44"/>
      <c r="P776" s="44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20.25" hidden="1" customHeight="1">
      <c r="A777" s="641"/>
      <c r="B777" s="597"/>
      <c r="C777" s="592"/>
      <c r="D777" s="592"/>
      <c r="E777" s="592"/>
      <c r="F777" s="594" t="s">
        <v>187</v>
      </c>
      <c r="G777" s="595"/>
      <c r="H777" s="161" t="s">
        <v>12</v>
      </c>
      <c r="I777" s="43"/>
      <c r="J777" s="43"/>
      <c r="K777" s="44"/>
      <c r="L777" s="44"/>
      <c r="M777" s="44"/>
      <c r="N777" s="44"/>
      <c r="O777" s="44"/>
      <c r="P777" s="44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20.25" hidden="1" customHeight="1">
      <c r="A778" s="641"/>
      <c r="B778" s="597"/>
      <c r="C778" s="592"/>
      <c r="D778" s="592"/>
      <c r="E778" s="592"/>
      <c r="F778" s="594" t="s">
        <v>188</v>
      </c>
      <c r="G778" s="595"/>
      <c r="H778" s="161" t="s">
        <v>12</v>
      </c>
      <c r="I778" s="43"/>
      <c r="J778" s="43"/>
      <c r="K778" s="44"/>
      <c r="L778" s="44"/>
      <c r="M778" s="44"/>
      <c r="N778" s="44"/>
      <c r="O778" s="44"/>
      <c r="P778" s="44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20.25" hidden="1" customHeight="1">
      <c r="A779" s="641"/>
      <c r="B779" s="597"/>
      <c r="C779" s="592"/>
      <c r="D779" s="592"/>
      <c r="E779" s="592"/>
      <c r="F779" s="594" t="s">
        <v>189</v>
      </c>
      <c r="G779" s="595"/>
      <c r="H779" s="161" t="s">
        <v>12</v>
      </c>
      <c r="I779" s="43"/>
      <c r="J779" s="43"/>
      <c r="K779" s="44"/>
      <c r="L779" s="44"/>
      <c r="M779" s="44"/>
      <c r="N779" s="44"/>
      <c r="O779" s="44"/>
      <c r="P779" s="44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20.25" hidden="1" customHeight="1">
      <c r="A780" s="591"/>
      <c r="B780" s="597"/>
      <c r="C780" s="592"/>
      <c r="D780" s="772" t="s">
        <v>21</v>
      </c>
      <c r="E780" s="592"/>
      <c r="F780" s="592"/>
      <c r="G780" s="595"/>
      <c r="H780" s="773" t="s">
        <v>12</v>
      </c>
      <c r="I780" s="162"/>
      <c r="J780" s="162"/>
      <c r="K780" s="163"/>
      <c r="L780" s="639">
        <f t="shared" ref="L780:N780" si="357">L781+L782</f>
        <v>0</v>
      </c>
      <c r="M780" s="639">
        <f t="shared" si="357"/>
        <v>0</v>
      </c>
      <c r="N780" s="639">
        <f t="shared" si="357"/>
        <v>0</v>
      </c>
      <c r="O780" s="639">
        <f t="shared" ref="O780:O782" si="358">IF(L780&gt;0,N780*100/L780,0)</f>
        <v>0</v>
      </c>
      <c r="P780" s="639">
        <f t="shared" ref="P780:P782" si="359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20.25" hidden="1" customHeight="1">
      <c r="A781" s="591"/>
      <c r="B781" s="597"/>
      <c r="C781" s="592"/>
      <c r="D781" s="592"/>
      <c r="E781" s="594" t="s">
        <v>18</v>
      </c>
      <c r="F781" s="592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44">
        <f t="shared" si="358"/>
        <v>0</v>
      </c>
      <c r="P781" s="44">
        <f t="shared" si="359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20.25" hidden="1" customHeight="1">
      <c r="A782" s="591"/>
      <c r="B782" s="597"/>
      <c r="C782" s="592"/>
      <c r="D782" s="592"/>
      <c r="E782" s="594" t="s">
        <v>19</v>
      </c>
      <c r="F782" s="592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44">
        <f t="shared" si="358"/>
        <v>0</v>
      </c>
      <c r="P782" s="44">
        <f t="shared" si="359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20.25" hidden="1" customHeight="1">
      <c r="A783" s="606"/>
      <c r="B783" s="607"/>
      <c r="C783" s="592" t="s">
        <v>16</v>
      </c>
      <c r="D783" s="774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20.25" hidden="1" customHeight="1">
      <c r="A784" s="641"/>
      <c r="B784" s="597"/>
      <c r="C784" s="592"/>
      <c r="D784" s="592"/>
      <c r="E784" s="594" t="s">
        <v>318</v>
      </c>
      <c r="F784" s="592"/>
      <c r="G784" s="595"/>
      <c r="H784" s="161" t="s">
        <v>46</v>
      </c>
      <c r="I784" s="43"/>
      <c r="J784" s="43"/>
      <c r="K784" s="44"/>
      <c r="L784" s="44"/>
      <c r="M784" s="44"/>
      <c r="N784" s="44"/>
      <c r="O784" s="44"/>
      <c r="P784" s="44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20.25" customHeight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60">I800</f>
        <v>5000</v>
      </c>
      <c r="J785" s="798">
        <f t="shared" ca="1" si="360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20.25" customHeight="1">
      <c r="A786" s="589"/>
      <c r="B786" s="567"/>
      <c r="C786" s="568" t="s">
        <v>16</v>
      </c>
      <c r="D786" s="845" t="s">
        <v>17</v>
      </c>
      <c r="E786" s="846"/>
      <c r="F786" s="846"/>
      <c r="G786" s="185"/>
      <c r="H786" s="590" t="s">
        <v>12</v>
      </c>
      <c r="I786" s="36"/>
      <c r="J786" s="36"/>
      <c r="K786" s="37"/>
      <c r="L786" s="191">
        <f t="shared" ref="L786:N786" ca="1" si="361">L787+L788</f>
        <v>335200</v>
      </c>
      <c r="M786" s="191">
        <f t="shared" si="361"/>
        <v>0</v>
      </c>
      <c r="N786" s="191">
        <f t="shared" ca="1" si="361"/>
        <v>13000</v>
      </c>
      <c r="O786" s="191">
        <f t="shared" ref="O786:O791" ca="1" si="362">IF(L786&gt;0,N786*100/L786,0)</f>
        <v>3.8782816229116945</v>
      </c>
      <c r="P786" s="191">
        <f t="shared" ref="P786:P791" si="363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20.25" hidden="1" customHeight="1">
      <c r="A787" s="591"/>
      <c r="B787" s="597"/>
      <c r="C787" s="592"/>
      <c r="D787" s="593"/>
      <c r="E787" s="594" t="s">
        <v>184</v>
      </c>
      <c r="F787" s="592"/>
      <c r="G787" s="595"/>
      <c r="H787" s="161" t="s">
        <v>12</v>
      </c>
      <c r="I787" s="43"/>
      <c r="J787" s="43"/>
      <c r="K787" s="44"/>
      <c r="L787" s="44">
        <f t="shared" ref="L787:N787" si="364">L790+L797</f>
        <v>0</v>
      </c>
      <c r="M787" s="44">
        <f t="shared" si="364"/>
        <v>0</v>
      </c>
      <c r="N787" s="44">
        <f t="shared" si="364"/>
        <v>0</v>
      </c>
      <c r="O787" s="44">
        <f t="shared" si="362"/>
        <v>0</v>
      </c>
      <c r="P787" s="44">
        <f t="shared" si="363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20.25" hidden="1" customHeight="1">
      <c r="A788" s="591"/>
      <c r="B788" s="597"/>
      <c r="C788" s="597"/>
      <c r="D788" s="607"/>
      <c r="E788" s="594" t="s">
        <v>185</v>
      </c>
      <c r="F788" s="592"/>
      <c r="G788" s="595"/>
      <c r="H788" s="161" t="s">
        <v>12</v>
      </c>
      <c r="I788" s="43"/>
      <c r="J788" s="43"/>
      <c r="K788" s="44"/>
      <c r="L788" s="44">
        <f t="shared" ref="L788:N788" ca="1" si="365">L791+L798</f>
        <v>335200</v>
      </c>
      <c r="M788" s="44">
        <f t="shared" si="365"/>
        <v>0</v>
      </c>
      <c r="N788" s="44">
        <f t="shared" ca="1" si="365"/>
        <v>13000</v>
      </c>
      <c r="O788" s="44">
        <f t="shared" ca="1" si="362"/>
        <v>3.8782816229116945</v>
      </c>
      <c r="P788" s="44">
        <f t="shared" si="363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20.25" customHeight="1">
      <c r="A789" s="589"/>
      <c r="B789" s="567"/>
      <c r="C789" s="567"/>
      <c r="D789" s="598" t="s">
        <v>20</v>
      </c>
      <c r="E789" s="568"/>
      <c r="F789" s="568"/>
      <c r="G789" s="185"/>
      <c r="H789" s="157" t="s">
        <v>12</v>
      </c>
      <c r="I789" s="158"/>
      <c r="J789" s="158"/>
      <c r="K789" s="159"/>
      <c r="L789" s="37">
        <f t="shared" ref="L789:N789" ca="1" si="366">L790+L791</f>
        <v>335200</v>
      </c>
      <c r="M789" s="37">
        <f t="shared" si="366"/>
        <v>0</v>
      </c>
      <c r="N789" s="37">
        <f t="shared" ca="1" si="366"/>
        <v>13000</v>
      </c>
      <c r="O789" s="37">
        <f t="shared" ca="1" si="362"/>
        <v>3.8782816229116945</v>
      </c>
      <c r="P789" s="37">
        <f t="shared" si="363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20.25" hidden="1" customHeight="1">
      <c r="A790" s="591"/>
      <c r="B790" s="597"/>
      <c r="C790" s="597"/>
      <c r="D790" s="607"/>
      <c r="E790" s="594" t="s">
        <v>184</v>
      </c>
      <c r="F790" s="592"/>
      <c r="G790" s="595"/>
      <c r="H790" s="161" t="s">
        <v>12</v>
      </c>
      <c r="I790" s="43"/>
      <c r="J790" s="43"/>
      <c r="K790" s="44"/>
      <c r="L790" s="90">
        <v>0</v>
      </c>
      <c r="M790" s="90">
        <v>0</v>
      </c>
      <c r="N790" s="90">
        <v>0</v>
      </c>
      <c r="O790" s="44">
        <f t="shared" si="362"/>
        <v>0</v>
      </c>
      <c r="P790" s="44">
        <f t="shared" si="363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20.25" hidden="1" customHeight="1">
      <c r="A791" s="591"/>
      <c r="B791" s="597"/>
      <c r="C791" s="597"/>
      <c r="D791" s="607"/>
      <c r="E791" s="594" t="s">
        <v>185</v>
      </c>
      <c r="F791" s="592"/>
      <c r="G791" s="595"/>
      <c r="H791" s="161" t="s">
        <v>12</v>
      </c>
      <c r="I791" s="43"/>
      <c r="J791" s="43"/>
      <c r="K791" s="44"/>
      <c r="L791" s="44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0">
        <v>0</v>
      </c>
      <c r="N791" s="44">
        <f ca="1">N792+N793+N794+N795</f>
        <v>13000</v>
      </c>
      <c r="O791" s="44">
        <f t="shared" ca="1" si="362"/>
        <v>3.8782816229116945</v>
      </c>
      <c r="P791" s="44">
        <f t="shared" si="363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20.25" customHeight="1">
      <c r="A792" s="566"/>
      <c r="B792" s="567"/>
      <c r="C792" s="568"/>
      <c r="D792" s="568"/>
      <c r="E792" s="568"/>
      <c r="F792" s="569" t="s">
        <v>186</v>
      </c>
      <c r="G792" s="185"/>
      <c r="H792" s="157" t="s">
        <v>12</v>
      </c>
      <c r="I792" s="36"/>
      <c r="J792" s="36"/>
      <c r="K792" s="37"/>
      <c r="L792" s="37"/>
      <c r="M792" s="37"/>
      <c r="N792" s="278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7"/>
      <c r="P792" s="37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20.25" customHeight="1">
      <c r="A793" s="566"/>
      <c r="B793" s="567"/>
      <c r="C793" s="568"/>
      <c r="D793" s="568"/>
      <c r="E793" s="568"/>
      <c r="F793" s="569" t="s">
        <v>187</v>
      </c>
      <c r="G793" s="185"/>
      <c r="H793" s="157" t="s">
        <v>12</v>
      </c>
      <c r="I793" s="36"/>
      <c r="J793" s="36"/>
      <c r="K793" s="37"/>
      <c r="L793" s="37"/>
      <c r="M793" s="37"/>
      <c r="N793" s="278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7"/>
      <c r="P793" s="37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20.25" customHeight="1">
      <c r="A794" s="566"/>
      <c r="B794" s="567"/>
      <c r="C794" s="568"/>
      <c r="D794" s="568"/>
      <c r="E794" s="568"/>
      <c r="F794" s="569" t="s">
        <v>188</v>
      </c>
      <c r="G794" s="185"/>
      <c r="H794" s="157" t="s">
        <v>12</v>
      </c>
      <c r="I794" s="36"/>
      <c r="J794" s="36"/>
      <c r="K794" s="37"/>
      <c r="L794" s="37"/>
      <c r="M794" s="37"/>
      <c r="N794" s="278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"),13000)</f>
        <v>13000</v>
      </c>
      <c r="O794" s="37"/>
      <c r="P794" s="37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20.25" customHeight="1">
      <c r="A795" s="566"/>
      <c r="B795" s="567"/>
      <c r="C795" s="568"/>
      <c r="D795" s="568"/>
      <c r="E795" s="568"/>
      <c r="F795" s="569" t="s">
        <v>189</v>
      </c>
      <c r="G795" s="185"/>
      <c r="H795" s="157" t="s">
        <v>12</v>
      </c>
      <c r="I795" s="36"/>
      <c r="J795" s="36"/>
      <c r="K795" s="37"/>
      <c r="L795" s="37"/>
      <c r="M795" s="37"/>
      <c r="N795" s="278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"),0)</f>
        <v>0</v>
      </c>
      <c r="O795" s="37"/>
      <c r="P795" s="37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20.25" customHeight="1">
      <c r="A796" s="589"/>
      <c r="B796" s="567"/>
      <c r="C796" s="568"/>
      <c r="D796" s="598" t="s">
        <v>21</v>
      </c>
      <c r="E796" s="568"/>
      <c r="F796" s="568"/>
      <c r="G796" s="185"/>
      <c r="H796" s="164" t="s">
        <v>12</v>
      </c>
      <c r="I796" s="158"/>
      <c r="J796" s="158"/>
      <c r="K796" s="159"/>
      <c r="L796" s="37">
        <f t="shared" ref="L796:N796" si="367">L797+L798</f>
        <v>0</v>
      </c>
      <c r="M796" s="37">
        <f t="shared" si="367"/>
        <v>0</v>
      </c>
      <c r="N796" s="37">
        <f t="shared" si="367"/>
        <v>0</v>
      </c>
      <c r="O796" s="37">
        <f t="shared" ref="O796:O798" si="368">IF(L796&gt;0,N796*100/L796,0)</f>
        <v>0</v>
      </c>
      <c r="P796" s="37">
        <f t="shared" ref="P796:P798" si="369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20.25" hidden="1" customHeight="1">
      <c r="A797" s="591"/>
      <c r="B797" s="597"/>
      <c r="C797" s="592"/>
      <c r="D797" s="592"/>
      <c r="E797" s="594" t="s">
        <v>18</v>
      </c>
      <c r="F797" s="592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44">
        <f t="shared" si="368"/>
        <v>0</v>
      </c>
      <c r="P797" s="44">
        <f t="shared" si="369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20.25" hidden="1" customHeight="1">
      <c r="A798" s="591"/>
      <c r="B798" s="597"/>
      <c r="C798" s="592"/>
      <c r="D798" s="592"/>
      <c r="E798" s="594" t="s">
        <v>19</v>
      </c>
      <c r="F798" s="592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44">
        <f t="shared" si="368"/>
        <v>0</v>
      </c>
      <c r="P798" s="44">
        <f t="shared" si="369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20.25" customHeight="1">
      <c r="A799" s="600"/>
      <c r="B799" s="601"/>
      <c r="C799" s="568" t="s">
        <v>16</v>
      </c>
      <c r="D799" s="750" t="s">
        <v>38</v>
      </c>
      <c r="E799" s="604"/>
      <c r="F799" s="604"/>
      <c r="G799" s="605"/>
      <c r="H799" s="801"/>
      <c r="I799" s="158"/>
      <c r="J799" s="158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20.25" customHeight="1">
      <c r="A800" s="600"/>
      <c r="B800" s="601"/>
      <c r="C800" s="601"/>
      <c r="D800" s="601"/>
      <c r="E800" s="611"/>
      <c r="F800" s="183" t="s">
        <v>320</v>
      </c>
      <c r="G800" s="171"/>
      <c r="H800" s="181" t="s">
        <v>46</v>
      </c>
      <c r="I800" s="158">
        <f ca="1">IFERROR(__xludf.DUMMYFUNCTION("IMPORTRANGE(""https://docs.google.com/spreadsheets/d/1hKO5uv94SSRZWOvrh72HRcpyoEQF9TsE_Cvxl77XNU4/edit?usp=share_link"",""กาญจนบุรี!I800"")+IMPORTRANGE(""https://docs.google.com/spreadsheets/d/1njBaP_xXd-Uotvo2D9zb01TTCFkLJLDK97Tk1l9Qux0/edit?usp=share_li"&amp;"nk"",""จันทบุรี!I800"")+IMPORTRANGE(""https://docs.google.com/spreadsheets/d/14xp6qUzrGFnUk_qnc1eEmfiaNRd4_grkhpfQH_46fa8/edit?usp=share_link"",""ฉะเชิงเทรา!I800"")+IMPORTRANGE(""https://docs.google.com/spreadsheets/d/1_Zwps30dlVa-pZFsorjVf1Pil6WXwzCsJU0U"&amp;"2whO3NI/edit?usp=share_link"",""ชลบุรี!I800"")+IMPORTRANGE(""https://docs.google.com/spreadsheets/d/1xAsT4sUbBlom7l0acStESh_15nvjZcXjZM7fK5uZSq8/edit?usp=share_link"",""ชัยนาท!I800"")+IMPORTRANGE(""https://docs.google.com/spreadsheets/d/1vWPVBOAaZ6mHSI8yf"&amp;"95DNqHwTJ1cpeFsvqt6cxV34QA/edit?usp=share_link"",""ตราด!I800"")+IMPORTRANGE(""https://docs.google.com/spreadsheets/d/1phaeSb9lTGgzDpbvVqI9hfmOQQzUom07-HEvpbARzEg/edit?usp=share_link"",""นครนายก!I800"")+IMPORTRANGE(""https://docs.google.com/spreadsheets/d/"&amp;"1tpwhWwkqkBeiSWCcfB5f2fbwPRbM9hHOEDSDHpl2MIc/edit?usp=share_link"",""นครปฐม!I800"")+IMPORTRANGE(""https://docs.google.com/spreadsheets/d/1fJJCVBkBnhriyv0Cp5ZFMr0I_yrfdEITNpb4zILJgUQ/edit?usp=share_link"",""ปทุมธานี!I800"")+IMPORTRANGE(""https://docs.googl"&amp;"e.com/spreadsheets/d/1W5Jj_S0gYw6wSO7QcMI02YgyOBDKYgmm0NSUk-AQEac/edit?usp=share_link"",""ประจวบคีรีขันธ์!I800"")+IMPORTRANGE(""https://docs.google.com/spreadsheets/d/1nYxRXgnCfTXtqUY1otYuTlnrzE0Tn-Y0YRsW5pkRVqo/edit?usp=share_link"",""ปราจีนบุรี!I800"")+"&amp;"IMPORTRANGE(""https://docs.google.com/spreadsheets/d/1nNHCLO8ZAXOMfQvxux7cf_hrzPAh8FAvaHq_ClKbZNo/edit?usp=share_link"",""พระนครศรีอยุธยา!I800"")+IMPORTRANGE(""https://docs.google.com/spreadsheets/d/1CdNicvf3i6yt4tJlCePe3V1Va76wYqW0QzMzTsaGRrA/edit?usp=sh"&amp;"are_link"",""เพชรบุรี!I800"")+IMPORTRANGE(""https://docs.google.com/spreadsheets/d/1XiF77UIVHV0Kjc6xbXuOuJ10WgJYxd4p_22ngKVV5oM/edit?usp=share_link"",""ระยอง!I800"")+IMPORTRANGE(""https://docs.google.com/spreadsheets/d/1qU-W_9MCQD1pgIVXGEOjCFo9QqlmJywueby"&amp;"GgaN92r8/edit?usp=share_link"",""ราชบุรี!I800"")+IMPORTRANGE(""https://docs.google.com/spreadsheets/d/1xYFIxIM_CspAP5Q-5Zx_V0T_Ut3cjryrjd2hss28vGk/edit?usp=share_link"",""ลพบุรี!I800"")+IMPORTRANGE(""https://docs.google.com/spreadsheets/d/11s9m3tKsCBdPWq6"&amp;"syhZm27eBGbKneDLZc75co106bio/edit?usp=share_link"",""สระแก้ว!I800"")+IMPORTRANGE(""https://docs.google.com/spreadsheets/d/1Nn1EvsFPtXldgpgVb3Rcng2K2cls68LFQsBh2FyW0Bg/edit?usp=share_link"",""สระบุรี!I800"")+IMPORTRANGE(""https://docs.google.com/spreadshee"&amp;"ts/d/149xufxukrnEciK3WPbNpHwUK8BKEJxp3UcBG3Al6dA4/edit?usp=share_link"",""สิงห์บุรี!I800"")+IMPORTRANGE(""https://docs.google.com/spreadsheets/d/132g-zJpz2uMKimp17uOIx8A7o3w1Z25zwJyXnwsB56c/edit?usp=share_link"",""สุพรรณบุรี!I800"")+IMPORTRANGE(""https://"&amp;"docs.google.com/spreadsheets/d/12Q_U0nVnFdxDFwa0pej9xvx8ZvLC9Dpi_vRro_aiG5g/edit?usp=share_link"",""อ่างทอง!I800"")
"),5000)</f>
        <v>5000</v>
      </c>
      <c r="J800" s="180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"),0)</f>
        <v>0</v>
      </c>
      <c r="K800" s="37">
        <f ca="1">IF(I800&gt;0,J800*100/I800,0)</f>
        <v>0</v>
      </c>
      <c r="L800" s="37"/>
      <c r="M800" s="37"/>
      <c r="N800" s="37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20.25" customHeight="1">
      <c r="A801" s="600"/>
      <c r="B801" s="601"/>
      <c r="C801" s="601"/>
      <c r="D801" s="601"/>
      <c r="E801" s="611"/>
      <c r="F801" s="611"/>
      <c r="G801" s="171"/>
      <c r="H801" s="157" t="s">
        <v>34</v>
      </c>
      <c r="I801" s="158"/>
      <c r="J801" s="36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"),0)</f>
        <v>0</v>
      </c>
      <c r="K801" s="37"/>
      <c r="L801" s="37"/>
      <c r="M801" s="37"/>
      <c r="N801" s="37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20.25" hidden="1" customHeight="1">
      <c r="A802" s="606"/>
      <c r="B802" s="607"/>
      <c r="C802" s="607"/>
      <c r="D802" s="607"/>
      <c r="E802" s="593"/>
      <c r="F802" s="710" t="s">
        <v>321</v>
      </c>
      <c r="G802" s="361"/>
      <c r="H802" s="645" t="s">
        <v>46</v>
      </c>
      <c r="I802" s="162"/>
      <c r="J802" s="43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20.25" hidden="1" customHeight="1">
      <c r="A803" s="606"/>
      <c r="B803" s="607"/>
      <c r="C803" s="607"/>
      <c r="D803" s="607"/>
      <c r="E803" s="593"/>
      <c r="F803" s="593"/>
      <c r="G803" s="361"/>
      <c r="H803" s="645" t="s">
        <v>34</v>
      </c>
      <c r="I803" s="162"/>
      <c r="J803" s="43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20.25" hidden="1" customHeight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20.25" hidden="1" customHeight="1">
      <c r="A805" s="591"/>
      <c r="B805" s="592"/>
      <c r="C805" s="592" t="s">
        <v>16</v>
      </c>
      <c r="D805" s="850" t="s">
        <v>17</v>
      </c>
      <c r="E805" s="846"/>
      <c r="F805" s="846"/>
      <c r="G805" s="595"/>
      <c r="H805" s="638" t="s">
        <v>12</v>
      </c>
      <c r="I805" s="43"/>
      <c r="J805" s="43"/>
      <c r="K805" s="44"/>
      <c r="L805" s="639">
        <f t="shared" ref="L805:N805" si="370">L806+L807</f>
        <v>0</v>
      </c>
      <c r="M805" s="639">
        <f t="shared" si="370"/>
        <v>0</v>
      </c>
      <c r="N805" s="639">
        <f t="shared" si="370"/>
        <v>0</v>
      </c>
      <c r="O805" s="639">
        <f t="shared" ref="O805:O810" si="371">IF(L805&gt;0,N805*100/L805,0)</f>
        <v>0</v>
      </c>
      <c r="P805" s="639">
        <f t="shared" ref="P805:P810" si="372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20.25" hidden="1" customHeight="1">
      <c r="A806" s="591"/>
      <c r="B806" s="592"/>
      <c r="C806" s="592"/>
      <c r="D806" s="607"/>
      <c r="E806" s="594" t="s">
        <v>184</v>
      </c>
      <c r="F806" s="592"/>
      <c r="G806" s="595"/>
      <c r="H806" s="161" t="s">
        <v>12</v>
      </c>
      <c r="I806" s="43"/>
      <c r="J806" s="43"/>
      <c r="K806" s="44"/>
      <c r="L806" s="44">
        <f t="shared" ref="L806:N806" si="373">L809+L816</f>
        <v>0</v>
      </c>
      <c r="M806" s="44">
        <f t="shared" si="373"/>
        <v>0</v>
      </c>
      <c r="N806" s="44">
        <f t="shared" si="373"/>
        <v>0</v>
      </c>
      <c r="O806" s="44">
        <f t="shared" si="371"/>
        <v>0</v>
      </c>
      <c r="P806" s="44">
        <f t="shared" si="372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20.25" hidden="1" customHeight="1">
      <c r="A807" s="591"/>
      <c r="B807" s="592"/>
      <c r="C807" s="592"/>
      <c r="D807" s="607"/>
      <c r="E807" s="594" t="s">
        <v>185</v>
      </c>
      <c r="F807" s="592"/>
      <c r="G807" s="595"/>
      <c r="H807" s="161" t="s">
        <v>12</v>
      </c>
      <c r="I807" s="43"/>
      <c r="J807" s="43"/>
      <c r="K807" s="44"/>
      <c r="L807" s="44">
        <f t="shared" ref="L807:N807" si="374">L810+L817</f>
        <v>0</v>
      </c>
      <c r="M807" s="44">
        <f t="shared" si="374"/>
        <v>0</v>
      </c>
      <c r="N807" s="44">
        <f t="shared" si="374"/>
        <v>0</v>
      </c>
      <c r="O807" s="44">
        <f t="shared" si="371"/>
        <v>0</v>
      </c>
      <c r="P807" s="44">
        <f t="shared" si="372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20.25" hidden="1" customHeight="1">
      <c r="A808" s="591"/>
      <c r="B808" s="597"/>
      <c r="C808" s="592"/>
      <c r="D808" s="849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75">L809+L810</f>
        <v>0</v>
      </c>
      <c r="M808" s="639">
        <f t="shared" si="375"/>
        <v>0</v>
      </c>
      <c r="N808" s="639">
        <f t="shared" si="375"/>
        <v>0</v>
      </c>
      <c r="O808" s="639">
        <f t="shared" si="371"/>
        <v>0</v>
      </c>
      <c r="P808" s="639">
        <f t="shared" si="372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20.25" hidden="1" customHeight="1">
      <c r="A809" s="591"/>
      <c r="B809" s="592"/>
      <c r="C809" s="592"/>
      <c r="D809" s="607"/>
      <c r="E809" s="594" t="s">
        <v>184</v>
      </c>
      <c r="F809" s="592"/>
      <c r="G809" s="595"/>
      <c r="H809" s="161" t="s">
        <v>12</v>
      </c>
      <c r="I809" s="43"/>
      <c r="J809" s="43"/>
      <c r="K809" s="44"/>
      <c r="L809" s="90">
        <v>0</v>
      </c>
      <c r="M809" s="90">
        <v>0</v>
      </c>
      <c r="N809" s="90">
        <v>0</v>
      </c>
      <c r="O809" s="44">
        <f t="shared" si="371"/>
        <v>0</v>
      </c>
      <c r="P809" s="44">
        <f t="shared" si="372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20.25" hidden="1" customHeight="1">
      <c r="A810" s="591"/>
      <c r="B810" s="592"/>
      <c r="C810" s="592"/>
      <c r="D810" s="607"/>
      <c r="E810" s="594" t="s">
        <v>185</v>
      </c>
      <c r="F810" s="592"/>
      <c r="G810" s="595"/>
      <c r="H810" s="161" t="s">
        <v>12</v>
      </c>
      <c r="I810" s="43"/>
      <c r="J810" s="43"/>
      <c r="K810" s="44"/>
      <c r="L810" s="90">
        <v>0</v>
      </c>
      <c r="M810" s="90">
        <v>0</v>
      </c>
      <c r="N810" s="44">
        <f>N811+N812+N813+N814</f>
        <v>0</v>
      </c>
      <c r="O810" s="44">
        <f t="shared" si="371"/>
        <v>0</v>
      </c>
      <c r="P810" s="44">
        <f t="shared" si="372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20.25" hidden="1" customHeight="1">
      <c r="A811" s="641"/>
      <c r="B811" s="597"/>
      <c r="C811" s="592"/>
      <c r="D811" s="597"/>
      <c r="E811" s="592"/>
      <c r="F811" s="594" t="s">
        <v>186</v>
      </c>
      <c r="G811" s="595"/>
      <c r="H811" s="161" t="s">
        <v>12</v>
      </c>
      <c r="I811" s="43"/>
      <c r="J811" s="43"/>
      <c r="K811" s="44"/>
      <c r="L811" s="44"/>
      <c r="M811" s="44"/>
      <c r="N811" s="44"/>
      <c r="O811" s="44"/>
      <c r="P811" s="44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20.25" hidden="1" customHeight="1">
      <c r="A812" s="641"/>
      <c r="B812" s="597"/>
      <c r="C812" s="592"/>
      <c r="D812" s="597"/>
      <c r="E812" s="592"/>
      <c r="F812" s="594" t="s">
        <v>187</v>
      </c>
      <c r="G812" s="595"/>
      <c r="H812" s="161" t="s">
        <v>12</v>
      </c>
      <c r="I812" s="43"/>
      <c r="J812" s="43"/>
      <c r="K812" s="44"/>
      <c r="L812" s="44"/>
      <c r="M812" s="44"/>
      <c r="N812" s="44"/>
      <c r="O812" s="44"/>
      <c r="P812" s="44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20.25" hidden="1" customHeight="1">
      <c r="A813" s="641"/>
      <c r="B813" s="597"/>
      <c r="C813" s="592"/>
      <c r="D813" s="597"/>
      <c r="E813" s="592"/>
      <c r="F813" s="594" t="s">
        <v>188</v>
      </c>
      <c r="G813" s="595"/>
      <c r="H813" s="161" t="s">
        <v>12</v>
      </c>
      <c r="I813" s="43"/>
      <c r="J813" s="43"/>
      <c r="K813" s="44"/>
      <c r="L813" s="44"/>
      <c r="M813" s="44"/>
      <c r="N813" s="44"/>
      <c r="O813" s="44"/>
      <c r="P813" s="44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20.25" hidden="1" customHeight="1">
      <c r="A814" s="641"/>
      <c r="B814" s="597"/>
      <c r="C814" s="592"/>
      <c r="D814" s="597"/>
      <c r="E814" s="592"/>
      <c r="F814" s="594" t="s">
        <v>189</v>
      </c>
      <c r="G814" s="595"/>
      <c r="H814" s="161" t="s">
        <v>12</v>
      </c>
      <c r="I814" s="43"/>
      <c r="J814" s="43"/>
      <c r="K814" s="44"/>
      <c r="L814" s="44"/>
      <c r="M814" s="44"/>
      <c r="N814" s="44"/>
      <c r="O814" s="44"/>
      <c r="P814" s="44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20.25" hidden="1" customHeight="1">
      <c r="A815" s="591"/>
      <c r="B815" s="597"/>
      <c r="C815" s="592"/>
      <c r="D815" s="849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76">L816+L817</f>
        <v>0</v>
      </c>
      <c r="M815" s="639">
        <f t="shared" si="376"/>
        <v>0</v>
      </c>
      <c r="N815" s="639">
        <f t="shared" si="376"/>
        <v>0</v>
      </c>
      <c r="O815" s="639">
        <f t="shared" ref="O815:O817" si="377">IF(L815&gt;0,N815*100/L815,0)</f>
        <v>0</v>
      </c>
      <c r="P815" s="639">
        <f t="shared" ref="P815:P817" si="378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20.25" hidden="1" customHeight="1">
      <c r="A816" s="591"/>
      <c r="B816" s="597"/>
      <c r="C816" s="592"/>
      <c r="D816" s="597"/>
      <c r="E816" s="594" t="s">
        <v>18</v>
      </c>
      <c r="F816" s="592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44">
        <f t="shared" si="377"/>
        <v>0</v>
      </c>
      <c r="P816" s="44">
        <f t="shared" si="378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20.25" hidden="1" customHeight="1">
      <c r="A817" s="591"/>
      <c r="B817" s="597"/>
      <c r="C817" s="592"/>
      <c r="D817" s="597"/>
      <c r="E817" s="594" t="s">
        <v>19</v>
      </c>
      <c r="F817" s="592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44">
        <f t="shared" si="377"/>
        <v>0</v>
      </c>
      <c r="P817" s="44">
        <f t="shared" si="378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20.25" hidden="1" customHeight="1">
      <c r="A818" s="606"/>
      <c r="B818" s="607"/>
      <c r="C818" s="592" t="s">
        <v>16</v>
      </c>
      <c r="D818" s="803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20.25" hidden="1" customHeight="1">
      <c r="A819" s="804"/>
      <c r="B819" s="805"/>
      <c r="C819" s="806"/>
      <c r="D819" s="805"/>
      <c r="E819" s="807" t="s">
        <v>323</v>
      </c>
      <c r="F819" s="806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20.25" customHeight="1">
      <c r="A820" s="812" t="s">
        <v>324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20.25" customHeight="1">
      <c r="A821" s="734"/>
      <c r="B821" s="569" t="s">
        <v>325</v>
      </c>
      <c r="C821" s="568"/>
      <c r="D821" s="567"/>
      <c r="E821" s="568"/>
      <c r="F821" s="568"/>
      <c r="G821" s="185"/>
      <c r="H821" s="35" t="s">
        <v>12</v>
      </c>
      <c r="I821" s="36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"),103928764.29)</f>
        <v>103928764.29000001</v>
      </c>
      <c r="J821" s="36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"),315120.75)</f>
        <v>315120.75</v>
      </c>
      <c r="K821" s="37">
        <f t="shared" ref="K821:K828" ca="1" si="379">IF(I821&gt;0,J821*100/I821,0)</f>
        <v>0.30320840640488672</v>
      </c>
      <c r="L821" s="37"/>
      <c r="M821" s="37"/>
      <c r="N821" s="37"/>
      <c r="O821" s="37"/>
      <c r="P821" s="37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20.25" customHeight="1">
      <c r="A822" s="734"/>
      <c r="B822" s="568"/>
      <c r="C822" s="568"/>
      <c r="D822" s="567"/>
      <c r="E822" s="568"/>
      <c r="F822" s="568"/>
      <c r="G822" s="185"/>
      <c r="H822" s="35" t="s">
        <v>35</v>
      </c>
      <c r="I822" s="36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"),3954)</f>
        <v>3954</v>
      </c>
      <c r="J822" s="36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"),22)</f>
        <v>22</v>
      </c>
      <c r="K822" s="37">
        <f t="shared" ca="1" si="379"/>
        <v>0.55639858371269602</v>
      </c>
      <c r="L822" s="37"/>
      <c r="M822" s="37"/>
      <c r="N822" s="37"/>
      <c r="O822" s="37"/>
      <c r="P822" s="37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20.25" customHeight="1">
      <c r="A823" s="734"/>
      <c r="B823" s="569" t="s">
        <v>326</v>
      </c>
      <c r="C823" s="568"/>
      <c r="D823" s="567"/>
      <c r="E823" s="568"/>
      <c r="F823" s="568"/>
      <c r="G823" s="185"/>
      <c r="H823" s="35" t="s">
        <v>12</v>
      </c>
      <c r="I823" s="36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"),105104987.07)</f>
        <v>105104987.06999999</v>
      </c>
      <c r="J823" s="36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"),842808.13)</f>
        <v>842808.13</v>
      </c>
      <c r="K823" s="37">
        <f t="shared" ca="1" si="379"/>
        <v>0.80187263563306388</v>
      </c>
      <c r="L823" s="37"/>
      <c r="M823" s="37"/>
      <c r="N823" s="37"/>
      <c r="O823" s="37"/>
      <c r="P823" s="37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20.25" customHeight="1">
      <c r="A824" s="734"/>
      <c r="B824" s="568"/>
      <c r="C824" s="568"/>
      <c r="D824" s="567"/>
      <c r="E824" s="568"/>
      <c r="F824" s="568"/>
      <c r="G824" s="185"/>
      <c r="H824" s="35" t="s">
        <v>35</v>
      </c>
      <c r="I824" s="36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"),3099)</f>
        <v>3099</v>
      </c>
      <c r="J824" s="36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"),141)</f>
        <v>141</v>
      </c>
      <c r="K824" s="37">
        <f t="shared" ca="1" si="379"/>
        <v>4.549854791868345</v>
      </c>
      <c r="L824" s="37"/>
      <c r="M824" s="37"/>
      <c r="N824" s="37"/>
      <c r="O824" s="37"/>
      <c r="P824" s="37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20.25" customHeight="1">
      <c r="A825" s="734"/>
      <c r="B825" s="569" t="s">
        <v>327</v>
      </c>
      <c r="C825" s="568"/>
      <c r="D825" s="567"/>
      <c r="E825" s="568"/>
      <c r="F825" s="568"/>
      <c r="G825" s="185"/>
      <c r="H825" s="35" t="s">
        <v>12</v>
      </c>
      <c r="I825" s="36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"),40680099.98)</f>
        <v>40680099.979999997</v>
      </c>
      <c r="J825" s="36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"),1003519.22)</f>
        <v>1003519.22</v>
      </c>
      <c r="K825" s="37">
        <f t="shared" ca="1" si="379"/>
        <v>2.4668553432596556</v>
      </c>
      <c r="L825" s="37"/>
      <c r="M825" s="37"/>
      <c r="N825" s="37"/>
      <c r="O825" s="37"/>
      <c r="P825" s="37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20.25" customHeight="1">
      <c r="A826" s="734"/>
      <c r="B826" s="568"/>
      <c r="C826" s="568"/>
      <c r="D826" s="567"/>
      <c r="E826" s="568"/>
      <c r="F826" s="568"/>
      <c r="G826" s="185"/>
      <c r="H826" s="35" t="s">
        <v>35</v>
      </c>
      <c r="I826" s="36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"),8017)</f>
        <v>8017</v>
      </c>
      <c r="J826" s="36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"),172)</f>
        <v>172</v>
      </c>
      <c r="K826" s="37">
        <f t="shared" ca="1" si="379"/>
        <v>2.1454409380067356</v>
      </c>
      <c r="L826" s="37"/>
      <c r="M826" s="37"/>
      <c r="N826" s="37"/>
      <c r="O826" s="37"/>
      <c r="P826" s="37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20.25" customHeight="1">
      <c r="A827" s="734"/>
      <c r="B827" s="569" t="s">
        <v>328</v>
      </c>
      <c r="C827" s="568"/>
      <c r="D827" s="567"/>
      <c r="E827" s="568"/>
      <c r="F827" s="568"/>
      <c r="G827" s="185"/>
      <c r="H827" s="35" t="s">
        <v>12</v>
      </c>
      <c r="I827" s="36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6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"),0)</f>
        <v>0</v>
      </c>
      <c r="K827" s="37">
        <f t="shared" ca="1" si="379"/>
        <v>0</v>
      </c>
      <c r="L827" s="37"/>
      <c r="M827" s="37"/>
      <c r="N827" s="37"/>
      <c r="O827" s="37"/>
      <c r="P827" s="37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20.25" customHeight="1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498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"),1008)</f>
        <v>1008</v>
      </c>
      <c r="K828" s="499">
        <f t="shared" ca="1" si="379"/>
        <v>25.760286225402506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" footer="0"/>
  <pageSetup paperSize="9" scale="39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9BC4-9389-4F6E-B338-EE0A7D22D441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4.4257812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329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819">
        <f t="shared" ref="L8:N8" ca="1" si="0">L9+L10</f>
        <v>7278897</v>
      </c>
      <c r="M8" s="819">
        <f t="shared" ca="1" si="0"/>
        <v>2462686</v>
      </c>
      <c r="N8" s="819">
        <f t="shared" ca="1" si="0"/>
        <v>1071209.8</v>
      </c>
      <c r="O8" s="819">
        <f t="shared" ref="O8:O16" ca="1" si="1">IF(L8&gt;0,N8*100/L8,0)</f>
        <v>14.716650063876436</v>
      </c>
      <c r="P8" s="819">
        <f t="shared" ref="P8:P16" ca="1" si="2">IF(M8&gt;0,N8*100/M8,0)</f>
        <v>43.497620078239777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7278897</v>
      </c>
      <c r="M10" s="29">
        <f t="shared" ca="1" si="3"/>
        <v>2462686</v>
      </c>
      <c r="N10" s="29">
        <f t="shared" ca="1" si="3"/>
        <v>1071209.8</v>
      </c>
      <c r="O10" s="29">
        <f t="shared" ca="1" si="1"/>
        <v>14.716650063876436</v>
      </c>
      <c r="P10" s="29">
        <f t="shared" ca="1" si="2"/>
        <v>43.497620078239777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6697697</v>
      </c>
      <c r="M11" s="495">
        <f t="shared" ca="1" si="4"/>
        <v>1881486</v>
      </c>
      <c r="N11" s="495">
        <f t="shared" ca="1" si="4"/>
        <v>529609.80000000005</v>
      </c>
      <c r="O11" s="495">
        <f t="shared" ca="1" si="1"/>
        <v>7.9073418818438643</v>
      </c>
      <c r="P11" s="495">
        <f t="shared" ca="1" si="2"/>
        <v>28.148484761512979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6697697</v>
      </c>
      <c r="M13" s="90">
        <f t="shared" ca="1" si="5"/>
        <v>1881486</v>
      </c>
      <c r="N13" s="90">
        <f t="shared" ca="1" si="5"/>
        <v>529609.80000000005</v>
      </c>
      <c r="O13" s="90">
        <f t="shared" ca="1" si="1"/>
        <v>7.9073418818438643</v>
      </c>
      <c r="P13" s="90">
        <f t="shared" ca="1" si="2"/>
        <v>28.148484761512979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581200</v>
      </c>
      <c r="M14" s="495">
        <f t="shared" ca="1" si="6"/>
        <v>581200</v>
      </c>
      <c r="N14" s="495">
        <f t="shared" ca="1" si="6"/>
        <v>541600</v>
      </c>
      <c r="O14" s="495">
        <f t="shared" ca="1" si="1"/>
        <v>93.186510667584315</v>
      </c>
      <c r="P14" s="495">
        <f t="shared" ca="1" si="2"/>
        <v>93.186510667584315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581200</v>
      </c>
      <c r="M16" s="51">
        <f t="shared" ca="1" si="7"/>
        <v>581200</v>
      </c>
      <c r="N16" s="51">
        <f t="shared" ca="1" si="7"/>
        <v>541600</v>
      </c>
      <c r="O16" s="51">
        <f t="shared" ca="1" si="1"/>
        <v>93.186510667584315</v>
      </c>
      <c r="P16" s="51">
        <f t="shared" ca="1" si="2"/>
        <v>93.186510667584315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819">
        <f t="shared" ref="L18:N18" ca="1" si="8">L19+L20</f>
        <v>4378506</v>
      </c>
      <c r="M18" s="819">
        <f t="shared" ca="1" si="8"/>
        <v>2462686</v>
      </c>
      <c r="N18" s="819">
        <f t="shared" ca="1" si="8"/>
        <v>1071209.8</v>
      </c>
      <c r="O18" s="819">
        <f t="shared" ref="O18:O26" ca="1" si="9">IF(L18&gt;0,N18*100/L18,0)</f>
        <v>24.465189724531609</v>
      </c>
      <c r="P18" s="819">
        <f t="shared" ref="P18:P26" ca="1" si="10">IF(M18&gt;0,N18*100/M18,0)</f>
        <v>43.497620078239777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4378506</v>
      </c>
      <c r="M20" s="29">
        <f t="shared" ca="1" si="11"/>
        <v>2462686</v>
      </c>
      <c r="N20" s="29">
        <f t="shared" ca="1" si="11"/>
        <v>1071209.8</v>
      </c>
      <c r="O20" s="29">
        <f t="shared" ca="1" si="9"/>
        <v>24.465189724531609</v>
      </c>
      <c r="P20" s="29">
        <f t="shared" ca="1" si="10"/>
        <v>43.497620078239777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3797306</v>
      </c>
      <c r="M21" s="495">
        <f t="shared" ca="1" si="12"/>
        <v>1881486</v>
      </c>
      <c r="N21" s="495">
        <f t="shared" ca="1" si="12"/>
        <v>529609.80000000005</v>
      </c>
      <c r="O21" s="495">
        <f t="shared" ca="1" si="9"/>
        <v>13.94698768021329</v>
      </c>
      <c r="P21" s="495">
        <f t="shared" ca="1" si="10"/>
        <v>28.148484761512979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3797306</v>
      </c>
      <c r="M23" s="90">
        <f t="shared" ca="1" si="13"/>
        <v>1881486</v>
      </c>
      <c r="N23" s="90">
        <f t="shared" ca="1" si="13"/>
        <v>529609.80000000005</v>
      </c>
      <c r="O23" s="90">
        <f t="shared" ca="1" si="9"/>
        <v>13.94698768021329</v>
      </c>
      <c r="P23" s="90">
        <f t="shared" ca="1" si="10"/>
        <v>28.148484761512979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581200</v>
      </c>
      <c r="M24" s="495">
        <f t="shared" ca="1" si="14"/>
        <v>581200</v>
      </c>
      <c r="N24" s="495">
        <f t="shared" ca="1" si="14"/>
        <v>541600</v>
      </c>
      <c r="O24" s="495">
        <f t="shared" ca="1" si="9"/>
        <v>93.186510667584315</v>
      </c>
      <c r="P24" s="495">
        <f t="shared" ca="1" si="10"/>
        <v>93.186510667584315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581200</v>
      </c>
      <c r="M26" s="51">
        <f t="shared" ca="1" si="15"/>
        <v>581200</v>
      </c>
      <c r="N26" s="51">
        <f t="shared" ca="1" si="15"/>
        <v>541600</v>
      </c>
      <c r="O26" s="51">
        <f t="shared" ca="1" si="9"/>
        <v>93.186510667584315</v>
      </c>
      <c r="P26" s="51">
        <f t="shared" ca="1" si="10"/>
        <v>93.186510667584315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819">
        <f t="shared" ref="L28:N28" ca="1" si="16">L29+L30</f>
        <v>2900391</v>
      </c>
      <c r="M28" s="819">
        <f t="shared" si="16"/>
        <v>0</v>
      </c>
      <c r="N28" s="819">
        <f t="shared" si="16"/>
        <v>0</v>
      </c>
      <c r="O28" s="819">
        <f t="shared" ref="O28:O37" ca="1" si="17">IF(L28&gt;0,N28*100/L28,0)</f>
        <v>0</v>
      </c>
      <c r="P28" s="819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2900391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2900391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2900391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820">
        <f t="shared" ref="L37:N37" ca="1" si="24">L41+L53+L66+L88+L119+L132+L149+L165+L181+L261+L277+L298+L315+L328+L345+L389+L402</f>
        <v>4378506</v>
      </c>
      <c r="M37" s="820">
        <f t="shared" ca="1" si="24"/>
        <v>2462686</v>
      </c>
      <c r="N37" s="820">
        <f t="shared" ca="1" si="24"/>
        <v>1071209.8</v>
      </c>
      <c r="O37" s="820">
        <f t="shared" ca="1" si="17"/>
        <v>24.465189724531609</v>
      </c>
      <c r="P37" s="820">
        <f t="shared" ca="1" si="18"/>
        <v>43.497620078239777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2">
        <f t="shared" ref="L41:N41" ca="1" si="25">L42+L43</f>
        <v>524846</v>
      </c>
      <c r="M41" s="822">
        <f t="shared" ca="1" si="25"/>
        <v>265046</v>
      </c>
      <c r="N41" s="822">
        <f t="shared" ca="1" si="25"/>
        <v>92145</v>
      </c>
      <c r="O41" s="822">
        <f t="shared" ref="O41:O49" ca="1" si="26">IF(L41&gt;0,N41*100/L41,0)</f>
        <v>17.556578501122235</v>
      </c>
      <c r="P41" s="822">
        <f t="shared" ref="P41:P49" ca="1" si="27">IF(M41&gt;0,N41*100/M41,0)</f>
        <v>34.765663318820131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524846</v>
      </c>
      <c r="M43" s="89">
        <f t="shared" ca="1" si="28"/>
        <v>265046</v>
      </c>
      <c r="N43" s="89">
        <f t="shared" ca="1" si="28"/>
        <v>92145</v>
      </c>
      <c r="O43" s="89">
        <f t="shared" ca="1" si="26"/>
        <v>17.556578501122235</v>
      </c>
      <c r="P43" s="89">
        <f t="shared" ca="1" si="27"/>
        <v>34.765663318820131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524846</v>
      </c>
      <c r="M44" s="495">
        <f t="shared" ca="1" si="29"/>
        <v>265046</v>
      </c>
      <c r="N44" s="495">
        <f t="shared" ca="1" si="29"/>
        <v>92145</v>
      </c>
      <c r="O44" s="495">
        <f t="shared" ca="1" si="26"/>
        <v>17.556578501122235</v>
      </c>
      <c r="P44" s="495">
        <f t="shared" ca="1" si="27"/>
        <v>34.765663318820131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IFERROR(__xludf.DUMMYFUNCTION("IMPORTRANGE(""https://docs.google.com/spreadsheets/d/1MeEWN-I1oV_STSDYn1IFDPWt_1FKiwhDph83XaGc0o0/edit?usp=sharing"",""งบพรบ!M53"")"),524846)</f>
        <v>524846</v>
      </c>
      <c r="M46" s="90">
        <f ca="1">IFERROR(__xludf.DUMMYFUNCTION("IMPORTRANGE(""https://docs.google.com/spreadsheets/d/1MeEWN-I1oV_STSDYn1IFDPWt_1FKiwhDph83XaGc0o0/edit?usp=sharing"",""งบพรบ!R53"")"),265046)</f>
        <v>265046</v>
      </c>
      <c r="N46" s="90">
        <f ca="1">IFERROR(__xludf.DUMMYFUNCTION("IMPORTRANGE(""https://docs.google.com/spreadsheets/d/1MeEWN-I1oV_STSDYn1IFDPWt_1FKiwhDph83XaGc0o0/edit?usp=sharing"",""งบพรบ!T53"")"),92145)</f>
        <v>92145</v>
      </c>
      <c r="O46" s="90">
        <f t="shared" ca="1" si="26"/>
        <v>17.556578501122235</v>
      </c>
      <c r="P46" s="90">
        <f t="shared" ca="1" si="27"/>
        <v>34.765663318820131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IFERROR(__xludf.DUMMYFUNCTION("IMPORTRANGE(""https://docs.google.com/spreadsheets/d/1MeEWN-I1oV_STSDYn1IFDPWt_1FKiwhDph83XaGc0o0/edit?usp=sharing"",""งบพรบ!P53"")"),0)</f>
        <v>0</v>
      </c>
      <c r="M49" s="51">
        <f ca="1">IFERROR(__xludf.DUMMYFUNCTION("IMPORTRANGE(""https://docs.google.com/spreadsheets/d/1MeEWN-I1oV_STSDYn1IFDPWt_1FKiwhDph83XaGc0o0/edit?usp=sharing"",""งบพรบ!S53"")"),0)</f>
        <v>0</v>
      </c>
      <c r="N49" s="51">
        <f ca="1">IFERROR(__xludf.DUMMYFUNCTION("IMPORTRANGE(""https://docs.google.com/spreadsheets/d/1MeEWN-I1oV_STSDYn1IFDPWt_1FKiwhDph83XaGc0o0/edit?usp=sharing"",""งบพรบ!U53"")"),0)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824">
        <f t="shared" ref="L53:N53" ca="1" si="31">L54+L55</f>
        <v>1449800</v>
      </c>
      <c r="M53" s="824">
        <f t="shared" ca="1" si="31"/>
        <v>955200</v>
      </c>
      <c r="N53" s="824">
        <f t="shared" ca="1" si="31"/>
        <v>642331.80000000005</v>
      </c>
      <c r="O53" s="824">
        <f t="shared" ref="O53:O61" ca="1" si="32">IF(L53&gt;0,N53*100/L53,0)</f>
        <v>44.304855842185134</v>
      </c>
      <c r="P53" s="824">
        <f t="shared" ref="P53:P61" ca="1" si="33">IF(M53&gt;0,N53*100/M53,0)</f>
        <v>67.245791457286444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1449800</v>
      </c>
      <c r="M55" s="119">
        <f t="shared" ca="1" si="34"/>
        <v>955200</v>
      </c>
      <c r="N55" s="119">
        <f t="shared" ca="1" si="34"/>
        <v>642331.80000000005</v>
      </c>
      <c r="O55" s="119">
        <f t="shared" ca="1" si="32"/>
        <v>44.304855842185134</v>
      </c>
      <c r="P55" s="119">
        <f t="shared" ca="1" si="33"/>
        <v>67.245791457286444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989200</v>
      </c>
      <c r="M56" s="495">
        <f t="shared" ca="1" si="35"/>
        <v>494600</v>
      </c>
      <c r="N56" s="495">
        <f t="shared" ca="1" si="35"/>
        <v>221331.8</v>
      </c>
      <c r="O56" s="495">
        <f t="shared" ca="1" si="32"/>
        <v>22.374828143954712</v>
      </c>
      <c r="P56" s="495">
        <f t="shared" ca="1" si="33"/>
        <v>44.749656287909424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IFERROR(__xludf.DUMMYFUNCTION("IMPORTRANGE(""https://docs.google.com/spreadsheets/d/1MeEWN-I1oV_STSDYn1IFDPWt_1FKiwhDph83XaGc0o0/edit?usp=sharing"",""งบพรบ!W53"")"),989200)</f>
        <v>989200</v>
      </c>
      <c r="M58" s="90">
        <f ca="1">IFERROR(__xludf.DUMMYFUNCTION("IMPORTRANGE(""https://docs.google.com/spreadsheets/d/1MeEWN-I1oV_STSDYn1IFDPWt_1FKiwhDph83XaGc0o0/edit?usp=sharing"",""งบพรบ!AB53"")"),494600)</f>
        <v>494600</v>
      </c>
      <c r="N58" s="90">
        <f ca="1">IFERROR(__xludf.DUMMYFUNCTION("IMPORTRANGE(""https://docs.google.com/spreadsheets/d/1MeEWN-I1oV_STSDYn1IFDPWt_1FKiwhDph83XaGc0o0/edit?usp=sharing"",""งบพรบ!AD53"")"),221331.8)</f>
        <v>221331.8</v>
      </c>
      <c r="O58" s="90">
        <f t="shared" ca="1" si="32"/>
        <v>22.374828143954712</v>
      </c>
      <c r="P58" s="90">
        <f t="shared" ca="1" si="33"/>
        <v>44.749656287909424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460600</v>
      </c>
      <c r="M59" s="495">
        <f t="shared" ca="1" si="36"/>
        <v>460600</v>
      </c>
      <c r="N59" s="495">
        <f t="shared" ca="1" si="36"/>
        <v>421000</v>
      </c>
      <c r="O59" s="495">
        <f t="shared" ca="1" si="32"/>
        <v>91.402518454190187</v>
      </c>
      <c r="P59" s="495">
        <f t="shared" ca="1" si="33"/>
        <v>91.402518454190187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IFERROR(__xludf.DUMMYFUNCTION("IMPORTRANGE(""https://docs.google.com/spreadsheets/d/1MeEWN-I1oV_STSDYn1IFDPWt_1FKiwhDph83XaGc0o0/edit?usp=sharing"",""งบพรบ!Z53"")"),460600)</f>
        <v>460600</v>
      </c>
      <c r="M61" s="51">
        <f ca="1">IFERROR(__xludf.DUMMYFUNCTION("IMPORTRANGE(""https://docs.google.com/spreadsheets/d/1MeEWN-I1oV_STSDYn1IFDPWt_1FKiwhDph83XaGc0o0/edit?usp=sharing"",""งบพรบ!AC53"")"),460600)</f>
        <v>460600</v>
      </c>
      <c r="N61" s="51">
        <f ca="1">IFERROR(__xludf.DUMMYFUNCTION("IMPORTRANGE(""https://docs.google.com/spreadsheets/d/1MeEWN-I1oV_STSDYn1IFDPWt_1FKiwhDph83XaGc0o0/edit?usp=sharing"",""งบพรบ!AE53"")"),421000)</f>
        <v>421000</v>
      </c>
      <c r="O61" s="51">
        <f t="shared" ca="1" si="32"/>
        <v>91.402518454190187</v>
      </c>
      <c r="P61" s="51">
        <f t="shared" ca="1" si="33"/>
        <v>91.402518454190187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IFERROR(__xludf.DUMMYFUNCTION("IMPORTRANGE(""https://docs.google.com/spreadsheets/d/1MeEWN-I1oV_STSDYn1IFDPWt_1FKiwhDph83XaGc0o0/edit?usp=sharing"",""งบพรบ!AG53"")"),0)</f>
        <v>0</v>
      </c>
      <c r="M71" s="90">
        <f ca="1">IFERROR(__xludf.DUMMYFUNCTION("IMPORTRANGE(""https://docs.google.com/spreadsheets/d/1MeEWN-I1oV_STSDYn1IFDPWt_1FKiwhDph83XaGc0o0/edit?usp=sharing"",""งบพรบ!AL53"")"),0)</f>
        <v>0</v>
      </c>
      <c r="N71" s="90">
        <f ca="1">IFERROR(__xludf.DUMMYFUNCTION("IMPORTRANGE(""https://docs.google.com/spreadsheets/d/1MeEWN-I1oV_STSDYn1IFDPWt_1FKiwhDph83XaGc0o0/edit?usp=sharing"",""งบพรบ!AN53"")"),0)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IFERROR(__xludf.DUMMYFUNCTION("IMPORTRANGE(""https://docs.google.com/spreadsheets/d/1MeEWN-I1oV_STSDYn1IFDPWt_1FKiwhDph83XaGc0o0/edit?usp=sharing"",""งบพรบ!AJ53"")"),0)</f>
        <v>0</v>
      </c>
      <c r="M74" s="90">
        <f ca="1">IFERROR(__xludf.DUMMYFUNCTION("IMPORTRANGE(""https://docs.google.com/spreadsheets/d/1MeEWN-I1oV_STSDYn1IFDPWt_1FKiwhDph83XaGc0o0/edit?usp=sharing"",""งบพรบ!AM53"")"),0)</f>
        <v>0</v>
      </c>
      <c r="N74" s="90">
        <f ca="1">IFERROR(__xludf.DUMMYFUNCTION("IMPORTRANGE(""https://docs.google.com/spreadsheets/d/1MeEWN-I1oV_STSDYn1IFDPWt_1FKiwhDph83XaGc0o0/edit?usp=sharing"",""งบพรบ!AO53"")"),0)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IFERROR(__xludf.DUMMYFUNCTION("IMPORTRANGE(""https://docs.google.com/spreadsheets/d/1QqKyyYR6Q21VydFLVH3TRQUabQu_ym0Zz7PgGX0-kHA/edit?usp=sharing"",""แผน!H53"")"),0)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IFERROR(__xludf.DUMMYFUNCTION("IMPORTRANGE(""https://docs.google.com/spreadsheets/d/1QqKyyYR6Q21VydFLVH3TRQUabQu_ym0Zz7PgGX0-kHA/edit?usp=sharing"",""แผน!I53"")"),0)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IFERROR(__xludf.DUMMYFUNCTION("IMPORTRANGE(""https://docs.google.com/spreadsheets/d/1QqKyyYR6Q21VydFLVH3TRQUabQu_ym0Zz7PgGX0-kHA/edit?usp=sharing"",""แผน!F53"")"),0)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IFERROR(__xludf.DUMMYFUNCTION("IMPORTRANGE(""https://docs.google.com/spreadsheets/d/1QqKyyYR6Q21VydFLVH3TRQUabQu_ym0Zz7PgGX0-kHA/edit?usp=sharing"",""แผน!G53"")"),0)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IFERROR(__xludf.DUMMYFUNCTION("IMPORTRANGE(""https://docs.google.com/spreadsheets/d/1QqKyyYR6Q21VydFLVH3TRQUabQu_ym0Zz7PgGX0-kHA/edit?usp=sharing"",""แผน!D53"")"),0)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IFERROR(__xludf.DUMMYFUNCTION("IMPORTRANGE(""https://docs.google.com/spreadsheets/d/1QqKyyYR6Q21VydFLVH3TRQUabQu_ym0Zz7PgGX0-kHA/edit?usp=sharing"",""แผน!E53"")"),0)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IFERROR(__xludf.DUMMYFUNCTION("IMPORTRANGE(""https://docs.google.com/spreadsheets/d/1QqKyyYR6Q21VydFLVH3TRQUabQu_ym0Zz7PgGX0-kHA/edit?usp=sharing"",""แผน!J53"")"),0)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30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86340</v>
      </c>
      <c r="M88" s="151">
        <f t="shared" ca="1" si="49"/>
        <v>21840</v>
      </c>
      <c r="N88" s="151">
        <f t="shared" ca="1" si="49"/>
        <v>0</v>
      </c>
      <c r="O88" s="151">
        <f t="shared" ref="O88:O96" ca="1" si="50">IF(L88&gt;0,N88*100/L88,0)</f>
        <v>0</v>
      </c>
      <c r="P88" s="151">
        <f t="shared" ref="P88:P96" ca="1" si="51">IF(M88&gt;0,N88*100/M88,0)</f>
        <v>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86340</v>
      </c>
      <c r="M90" s="90">
        <f t="shared" ca="1" si="52"/>
        <v>21840</v>
      </c>
      <c r="N90" s="90">
        <f t="shared" ca="1" si="52"/>
        <v>0</v>
      </c>
      <c r="O90" s="90">
        <f t="shared" ca="1" si="50"/>
        <v>0</v>
      </c>
      <c r="P90" s="90">
        <f t="shared" ca="1" si="51"/>
        <v>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86340</v>
      </c>
      <c r="M91" s="495">
        <f t="shared" ca="1" si="53"/>
        <v>21840</v>
      </c>
      <c r="N91" s="495">
        <f t="shared" ca="1" si="53"/>
        <v>0</v>
      </c>
      <c r="O91" s="495">
        <f t="shared" ca="1" si="50"/>
        <v>0</v>
      </c>
      <c r="P91" s="495">
        <f t="shared" ca="1" si="51"/>
        <v>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IFERROR(__xludf.DUMMYFUNCTION("IMPORTRANGE(""https://docs.google.com/spreadsheets/d/1MeEWN-I1oV_STSDYn1IFDPWt_1FKiwhDph83XaGc0o0/edit?usp=sharing"",""งบพรบ!AQ53"")"),86340)</f>
        <v>86340</v>
      </c>
      <c r="M93" s="90">
        <f ca="1">IFERROR(__xludf.DUMMYFUNCTION("IMPORTRANGE(""https://docs.google.com/spreadsheets/d/1MeEWN-I1oV_STSDYn1IFDPWt_1FKiwhDph83XaGc0o0/edit?usp=sharing"",""งบพรบ!AV53"")"),21840)</f>
        <v>21840</v>
      </c>
      <c r="N93" s="90">
        <f ca="1">IFERROR(__xludf.DUMMYFUNCTION("IMPORTRANGE(""https://docs.google.com/spreadsheets/d/1MeEWN-I1oV_STSDYn1IFDPWt_1FKiwhDph83XaGc0o0/edit?usp=sharing"",""งบพรบ!AX53"")"),0)</f>
        <v>0</v>
      </c>
      <c r="O93" s="90">
        <f t="shared" ca="1" si="50"/>
        <v>0</v>
      </c>
      <c r="P93" s="90">
        <f t="shared" ca="1" si="51"/>
        <v>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IFERROR(__xludf.DUMMYFUNCTION("IMPORTRANGE(""https://docs.google.com/spreadsheets/d/1MeEWN-I1oV_STSDYn1IFDPWt_1FKiwhDph83XaGc0o0/edit?usp=sharing"",""งบพรบ!AT53"")"),0)</f>
        <v>0</v>
      </c>
      <c r="M96" s="90">
        <f ca="1">IFERROR(__xludf.DUMMYFUNCTION("IMPORTRANGE(""https://docs.google.com/spreadsheets/d/1MeEWN-I1oV_STSDYn1IFDPWt_1FKiwhDph83XaGc0o0/edit?usp=sharing"",""งบพรบ!AW53"")"),0)</f>
        <v>0</v>
      </c>
      <c r="N96" s="90">
        <f ca="1">IFERROR(__xludf.DUMMYFUNCTION("IMPORTRANGE(""https://docs.google.com/spreadsheets/d/1MeEWN-I1oV_STSDYn1IFDPWt_1FKiwhDph83XaGc0o0/edit?usp=sharing"",""งบพรบ!AY53"")"),0)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IFERROR(__xludf.DUMMYFUNCTION("IMPORTRANGE(""https://docs.google.com/spreadsheets/d/1QqKyyYR6Q21VydFLVH3TRQUabQu_ym0Zz7PgGX0-kHA/edit?usp=sharing"",""แผน!K53"")"),30)</f>
        <v>30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IFERROR(__xludf.DUMMYFUNCTION("IMPORTRANGE(""https://docs.google.com/spreadsheets/d/1QqKyyYR6Q21VydFLVH3TRQUabQu_ym0Zz7PgGX0-kHA/edit?usp=sharing"",""แผน!L53"")"),10)</f>
        <v>10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IFERROR(__xludf.DUMMYFUNCTION("IMPORTRANGE(""https://docs.google.com/spreadsheets/d/1QqKyyYR6Q21VydFLVH3TRQUabQu_ym0Zz7PgGX0-kHA/edit?usp=sharing"",""แผน!M53"")"),2)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IFERROR(__xludf.DUMMYFUNCTION("IMPORTRANGE(""https://docs.google.com/spreadsheets/d/1QqKyyYR6Q21VydFLVH3TRQUabQu_ym0Zz7PgGX0-kHA/edit?usp=sharing"",""แผน!N53"")"),30)</f>
        <v>30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IFERROR(__xludf.DUMMYFUNCTION("IMPORTRANGE(""https://docs.google.com/spreadsheets/d/1QqKyyYR6Q21VydFLVH3TRQUabQu_ym0Zz7PgGX0-kHA/edit?usp=sharing"",""แผน!O53"")"),10)</f>
        <v>10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IFERROR(__xludf.DUMMYFUNCTION("IMPORTRANGE(""https://docs.google.com/spreadsheets/d/1QqKyyYR6Q21VydFLVH3TRQUabQu_ym0Zz7PgGX0-kHA/edit?usp=sharing"",""แผน!O53"")"),10)</f>
        <v>10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IFERROR(__xludf.DUMMYFUNCTION("IMPORTRANGE(""https://docs.google.com/spreadsheets/d/1QqKyyYR6Q21VydFLVH3TRQUabQu_ym0Zz7PgGX0-kHA/edit?usp=sharing"",""แผน!P53"")"),1)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IFERROR(__xludf.DUMMYFUNCTION("IMPORTRANGE(""https://docs.google.com/spreadsheets/d/1QqKyyYR6Q21VydFLVH3TRQUabQu_ym0Zz7PgGX0-kHA/edit?usp=sharing"",""แผน!P53"")"),1)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IFERROR(__xludf.DUMMYFUNCTION("IMPORTRANGE(""https://docs.google.com/spreadsheets/d/1QqKyyYR6Q21VydFLVH3TRQUabQu_ym0Zz7PgGX0-kHA/edit?usp=sharing"",""แผน!Q53"")"),1)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IFERROR(__xludf.DUMMYFUNCTION("IMPORTRANGE(""https://docs.google.com/spreadsheets/d/1QqKyyYR6Q21VydFLVH3TRQUabQu_ym0Zz7PgGX0-kHA/edit?usp=sharing"",""แผน!Q53"")"),1)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IFERROR(__xludf.DUMMYFUNCTION("IMPORTRANGE(""https://docs.google.com/spreadsheets/d/1QqKyyYR6Q21VydFLVH3TRQUabQu_ym0Zz7PgGX0-kHA/edit?usp=sharing"",""แผน!R53"")"),10)</f>
        <v>10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IFERROR(__xludf.DUMMYFUNCTION("IMPORTRANGE(""https://docs.google.com/spreadsheets/d/1QqKyyYR6Q21VydFLVH3TRQUabQu_ym0Zz7PgGX0-kHA/edit?usp=sharing"",""แผน!R53"")"),10)</f>
        <v>10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IFERROR(__xludf.DUMMYFUNCTION("IMPORTRANGE(""https://docs.google.com/spreadsheets/d/1QqKyyYR6Q21VydFLVH3TRQUabQu_ym0Zz7PgGX0-kHA/edit?usp=sharing"",""แผน!R53"")"),10)</f>
        <v>10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IFERROR(__xludf.DUMMYFUNCTION("IMPORTRANGE(""https://docs.google.com/spreadsheets/d/1QqKyyYR6Q21VydFLVH3TRQUabQu_ym0Zz7PgGX0-kHA/edit?usp=sharing"",""แผน!S53"")"),1)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IFERROR(__xludf.DUMMYFUNCTION("IMPORTRANGE(""https://docs.google.com/spreadsheets/d/1QqKyyYR6Q21VydFLVH3TRQUabQu_ym0Zz7PgGX0-kHA/edit?usp=sharing"",""แผน!T53"")"),1)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IFERROR(__xludf.DUMMYFUNCTION("IMPORTRANGE(""https://docs.google.com/spreadsheets/d/1MeEWN-I1oV_STSDYn1IFDPWt_1FKiwhDph83XaGc0o0/edit?usp=sharing"",""งบพรบ!BA53"")"),0)</f>
        <v>0</v>
      </c>
      <c r="M124" s="90">
        <f ca="1">IFERROR(__xludf.DUMMYFUNCTION("IMPORTRANGE(""https://docs.google.com/spreadsheets/d/1MeEWN-I1oV_STSDYn1IFDPWt_1FKiwhDph83XaGc0o0/edit?usp=sharing"",""งบพรบ!BF53"")"),0)</f>
        <v>0</v>
      </c>
      <c r="N124" s="90">
        <f ca="1">IFERROR(__xludf.DUMMYFUNCTION("IMPORTRANGE(""https://docs.google.com/spreadsheets/d/1MeEWN-I1oV_STSDYn1IFDPWt_1FKiwhDph83XaGc0o0/edit?usp=sharing"",""งบพรบ!BH53"")"),0)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IFERROR(__xludf.DUMMYFUNCTION("IMPORTRANGE(""https://docs.google.com/spreadsheets/d/1MeEWN-I1oV_STSDYn1IFDPWt_1FKiwhDph83XaGc0o0/edit?usp=sharing"",""งบพรบ!BD53"")"),0)</f>
        <v>0</v>
      </c>
      <c r="M127" s="90">
        <f ca="1">IFERROR(__xludf.DUMMYFUNCTION("IMPORTRANGE(""https://docs.google.com/spreadsheets/d/1MeEWN-I1oV_STSDYn1IFDPWt_1FKiwhDph83XaGc0o0/edit?usp=sharing"",""งบพรบ!BG53"")"),0)</f>
        <v>0</v>
      </c>
      <c r="N127" s="90">
        <f ca="1">IFERROR(__xludf.DUMMYFUNCTION("IMPORTRANGE(""https://docs.google.com/spreadsheets/d/1MeEWN-I1oV_STSDYn1IFDPWt_1FKiwhDph83XaGc0o0/edit?usp=sharing"",""งบพรบ!BI53"")"),0)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IFERROR(__xludf.DUMMYFUNCTION("IMPORTRANGE(""https://docs.google.com/spreadsheets/d/1MeEWN-I1oV_STSDYn1IFDPWt_1FKiwhDph83XaGc0o0/edit?usp=sharing"",""งบพรบ!BK53"")"),0)</f>
        <v>0</v>
      </c>
      <c r="M137" s="90">
        <f ca="1">IFERROR(__xludf.DUMMYFUNCTION("IMPORTRANGE(""https://docs.google.com/spreadsheets/d/1MeEWN-I1oV_STSDYn1IFDPWt_1FKiwhDph83XaGc0o0/edit?usp=sharing"",""งบพรบ!BP53"")"),0)</f>
        <v>0</v>
      </c>
      <c r="N137" s="90">
        <f ca="1">IFERROR(__xludf.DUMMYFUNCTION("IMPORTRANGE(""https://docs.google.com/spreadsheets/d/1MeEWN-I1oV_STSDYn1IFDPWt_1FKiwhDph83XaGc0o0/edit?usp=sharing"",""งบพรบ!BR53"")"),0)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IFERROR(__xludf.DUMMYFUNCTION("IMPORTRANGE(""https://docs.google.com/spreadsheets/d/1MeEWN-I1oV_STSDYn1IFDPWt_1FKiwhDph83XaGc0o0/edit?usp=sharing"",""งบพรบ!BN53"")"),0)</f>
        <v>0</v>
      </c>
      <c r="M140" s="90">
        <f ca="1">IFERROR(__xludf.DUMMYFUNCTION("IMPORTRANGE(""https://docs.google.com/spreadsheets/d/1MeEWN-I1oV_STSDYn1IFDPWt_1FKiwhDph83XaGc0o0/edit?usp=sharing"",""งบพรบ!BQ53"")"),0)</f>
        <v>0</v>
      </c>
      <c r="N140" s="90">
        <f ca="1">IFERROR(__xludf.DUMMYFUNCTION("IMPORTRANGE(""https://docs.google.com/spreadsheets/d/1MeEWN-I1oV_STSDYn1IFDPWt_1FKiwhDph83XaGc0o0/edit?usp=sharing"",""งบพรบ!BS53"")"),0)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IFERROR(__xludf.DUMMYFUNCTION("IMPORTRANGE(""https://docs.google.com/spreadsheets/d/1QqKyyYR6Q21VydFLVH3TRQUabQu_ym0Zz7PgGX0-kHA/edit?usp=sharing"",""แผน!U53"")"),0)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IFERROR(__xludf.DUMMYFUNCTION("IMPORTRANGE(""https://docs.google.com/spreadsheets/d/1QqKyyYR6Q21VydFLVH3TRQUabQu_ym0Zz7PgGX0-kHA/edit?usp=sharing"",""แผน!V53"")"),0)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IFERROR(__xludf.DUMMYFUNCTION("IMPORTRANGE(""https://docs.google.com/spreadsheets/d/1QqKyyYR6Q21VydFLVH3TRQUabQu_ym0Zz7PgGX0-kHA/edit?usp=sharing"",""แผน!W53"")"),0)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20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10000</v>
      </c>
      <c r="M149" s="151">
        <f t="shared" ca="1" si="77"/>
        <v>10000</v>
      </c>
      <c r="N149" s="151">
        <f t="shared" ca="1" si="77"/>
        <v>1440</v>
      </c>
      <c r="O149" s="151">
        <f t="shared" ref="O149:O157" ca="1" si="78">IF(L149&gt;0,N149*100/L149,0)</f>
        <v>14.4</v>
      </c>
      <c r="P149" s="151">
        <f t="shared" ref="P149:P157" ca="1" si="79">IF(M149&gt;0,N149*100/M149,0)</f>
        <v>14.4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10000</v>
      </c>
      <c r="M151" s="90">
        <f t="shared" ca="1" si="80"/>
        <v>10000</v>
      </c>
      <c r="N151" s="90">
        <f t="shared" ca="1" si="80"/>
        <v>1440</v>
      </c>
      <c r="O151" s="90">
        <f t="shared" ca="1" si="78"/>
        <v>14.4</v>
      </c>
      <c r="P151" s="90">
        <f t="shared" ca="1" si="79"/>
        <v>14.4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10000</v>
      </c>
      <c r="M152" s="495">
        <f t="shared" ca="1" si="81"/>
        <v>10000</v>
      </c>
      <c r="N152" s="495">
        <f t="shared" ca="1" si="81"/>
        <v>1440</v>
      </c>
      <c r="O152" s="495">
        <f t="shared" ca="1" si="78"/>
        <v>14.4</v>
      </c>
      <c r="P152" s="495">
        <f t="shared" ca="1" si="79"/>
        <v>14.4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IFERROR(__xludf.DUMMYFUNCTION("IMPORTRANGE(""https://docs.google.com/spreadsheets/d/1MeEWN-I1oV_STSDYn1IFDPWt_1FKiwhDph83XaGc0o0/edit?usp=sharing"",""งบพรบ!BU53"")"),10000)</f>
        <v>10000</v>
      </c>
      <c r="M154" s="90">
        <f ca="1">IFERROR(__xludf.DUMMYFUNCTION("IMPORTRANGE(""https://docs.google.com/spreadsheets/d/1MeEWN-I1oV_STSDYn1IFDPWt_1FKiwhDph83XaGc0o0/edit?usp=sharing"",""งบพรบ!BZ53"")"),10000)</f>
        <v>10000</v>
      </c>
      <c r="N154" s="90">
        <f ca="1">IFERROR(__xludf.DUMMYFUNCTION("IMPORTRANGE(""https://docs.google.com/spreadsheets/d/1MeEWN-I1oV_STSDYn1IFDPWt_1FKiwhDph83XaGc0o0/edit?usp=sharing"",""งบพรบ!CB53"")"),1440)</f>
        <v>1440</v>
      </c>
      <c r="O154" s="90">
        <f t="shared" ca="1" si="78"/>
        <v>14.4</v>
      </c>
      <c r="P154" s="90">
        <f t="shared" ca="1" si="79"/>
        <v>14.4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IFERROR(__xludf.DUMMYFUNCTION("IMPORTRANGE(""https://docs.google.com/spreadsheets/d/1MeEWN-I1oV_STSDYn1IFDPWt_1FKiwhDph83XaGc0o0/edit?usp=sharing"",""งบพรบ!BX53"")"),0)</f>
        <v>0</v>
      </c>
      <c r="M157" s="90">
        <f ca="1">IFERROR(__xludf.DUMMYFUNCTION("IMPORTRANGE(""https://docs.google.com/spreadsheets/d/1MeEWN-I1oV_STSDYn1IFDPWt_1FKiwhDph83XaGc0o0/edit?usp=sharing"",""งบพรบ!CA53"")"),0)</f>
        <v>0</v>
      </c>
      <c r="N157" s="90">
        <f ca="1">IFERROR(__xludf.DUMMYFUNCTION("IMPORTRANGE(""https://docs.google.com/spreadsheets/d/1MeEWN-I1oV_STSDYn1IFDPWt_1FKiwhDph83XaGc0o0/edit?usp=sharing"",""งบพรบ!CC53"")"),0)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IFERROR(__xludf.DUMMYFUNCTION("IMPORTRANGE(""https://docs.google.com/spreadsheets/d/1QqKyyYR6Q21VydFLVH3TRQUabQu_ym0Zz7PgGX0-kHA/edit?usp=sharing"",""แผน!X53"")"),20)</f>
        <v>20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371">
        <f t="shared" ref="I164:J164" ca="1" si="83">I174+I177</f>
        <v>12</v>
      </c>
      <c r="J164" s="371">
        <f t="shared" si="83"/>
        <v>0</v>
      </c>
      <c r="K164" s="372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1">
        <f t="shared" ref="L165:N165" ca="1" si="84">L166+L167</f>
        <v>23060</v>
      </c>
      <c r="M165" s="151">
        <f t="shared" ca="1" si="84"/>
        <v>23060</v>
      </c>
      <c r="N165" s="151">
        <f t="shared" ca="1" si="84"/>
        <v>0</v>
      </c>
      <c r="O165" s="151">
        <f t="shared" ref="O165:O173" ca="1" si="85">IF(L165&gt;0,N165*100/L165,0)</f>
        <v>0</v>
      </c>
      <c r="P165" s="151">
        <f t="shared" ref="P165:P173" ca="1" si="86">IF(M165&gt;0,N165*100/M165,0)</f>
        <v>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23060</v>
      </c>
      <c r="M167" s="90">
        <f t="shared" ca="1" si="87"/>
        <v>23060</v>
      </c>
      <c r="N167" s="90">
        <f t="shared" ca="1" si="87"/>
        <v>0</v>
      </c>
      <c r="O167" s="90">
        <f t="shared" ca="1" si="85"/>
        <v>0</v>
      </c>
      <c r="P167" s="90">
        <f t="shared" ca="1" si="86"/>
        <v>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23060</v>
      </c>
      <c r="M168" s="495">
        <f t="shared" ca="1" si="88"/>
        <v>23060</v>
      </c>
      <c r="N168" s="495">
        <f t="shared" ca="1" si="88"/>
        <v>0</v>
      </c>
      <c r="O168" s="495">
        <f t="shared" ca="1" si="85"/>
        <v>0</v>
      </c>
      <c r="P168" s="495">
        <f t="shared" ca="1" si="86"/>
        <v>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IFERROR(__xludf.DUMMYFUNCTION("IMPORTRANGE(""https://docs.google.com/spreadsheets/d/1MeEWN-I1oV_STSDYn1IFDPWt_1FKiwhDph83XaGc0o0/edit?usp=sharing"",""งบพรบ!CE53"")"),23060)</f>
        <v>23060</v>
      </c>
      <c r="M170" s="90">
        <f ca="1">IFERROR(__xludf.DUMMYFUNCTION("IMPORTRANGE(""https://docs.google.com/spreadsheets/d/1MeEWN-I1oV_STSDYn1IFDPWt_1FKiwhDph83XaGc0o0/edit?usp=sharing"",""งบพรบ!CJ53"")"),23060)</f>
        <v>23060</v>
      </c>
      <c r="N170" s="90">
        <f ca="1">IFERROR(__xludf.DUMMYFUNCTION("IMPORTRANGE(""https://docs.google.com/spreadsheets/d/1MeEWN-I1oV_STSDYn1IFDPWt_1FKiwhDph83XaGc0o0/edit?usp=sharing"",""งบพรบ!CL53"")"),0)</f>
        <v>0</v>
      </c>
      <c r="O170" s="90">
        <f t="shared" ca="1" si="85"/>
        <v>0</v>
      </c>
      <c r="P170" s="90">
        <f t="shared" ca="1" si="86"/>
        <v>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IFERROR(__xludf.DUMMYFUNCTION("IMPORTRANGE(""https://docs.google.com/spreadsheets/d/1MeEWN-I1oV_STSDYn1IFDPWt_1FKiwhDph83XaGc0o0/edit?usp=sharing"",""งบพรบ!CH53"")"),0)</f>
        <v>0</v>
      </c>
      <c r="M173" s="90">
        <f ca="1">IFERROR(__xludf.DUMMYFUNCTION("IMPORTRANGE(""https://docs.google.com/spreadsheets/d/1MeEWN-I1oV_STSDYn1IFDPWt_1FKiwhDph83XaGc0o0/edit?usp=sharing"",""งบพรบ!CK53"")"),0)</f>
        <v>0</v>
      </c>
      <c r="N173" s="90">
        <f ca="1">IFERROR(__xludf.DUMMYFUNCTION("IMPORTRANGE(""https://docs.google.com/spreadsheets/d/1MeEWN-I1oV_STSDYn1IFDPWt_1FKiwhDph83XaGc0o0/edit?usp=sharing"",""งบพรบ!CM53"")"),0)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12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IFERROR(__xludf.DUMMYFUNCTION("IMPORTRANGE(""https://docs.google.com/spreadsheets/d/1QqKyyYR6Q21VydFLVH3TRQUabQu_ym0Zz7PgGX0-kHA/edit?usp=sharing"",""แผน!Y53"")"),12)</f>
        <v>12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371">
        <f t="shared" ref="I180:J180" ca="1" si="91">I225+I226</f>
        <v>30</v>
      </c>
      <c r="J180" s="371">
        <f t="shared" si="91"/>
        <v>0</v>
      </c>
      <c r="K180" s="372">
        <f ca="1"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1">
        <f t="shared" ref="L181:N181" ca="1" si="92">L182+L183</f>
        <v>352500</v>
      </c>
      <c r="M181" s="151">
        <f t="shared" ca="1" si="92"/>
        <v>190600</v>
      </c>
      <c r="N181" s="151">
        <f t="shared" ca="1" si="92"/>
        <v>4615</v>
      </c>
      <c r="O181" s="151">
        <f t="shared" ref="O181:O189" ca="1" si="93">IF(L181&gt;0,N181*100/L181,0)</f>
        <v>1.3092198581560284</v>
      </c>
      <c r="P181" s="151">
        <f t="shared" ref="P181:P189" ca="1" si="94">IF(M181&gt;0,N181*100/M181,0)</f>
        <v>2.4213011542497376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5">L185+L188</f>
        <v>0</v>
      </c>
      <c r="M182" s="90">
        <f t="shared" si="95"/>
        <v>0</v>
      </c>
      <c r="N182" s="90">
        <f t="shared" si="95"/>
        <v>0</v>
      </c>
      <c r="O182" s="90">
        <f t="shared" si="93"/>
        <v>0</v>
      </c>
      <c r="P182" s="90">
        <f t="shared" si="94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5"/>
        <v>352500</v>
      </c>
      <c r="M183" s="90">
        <f t="shared" ca="1" si="95"/>
        <v>190600</v>
      </c>
      <c r="N183" s="90">
        <f t="shared" ca="1" si="95"/>
        <v>4615</v>
      </c>
      <c r="O183" s="90">
        <f t="shared" ca="1" si="93"/>
        <v>1.3092198581560284</v>
      </c>
      <c r="P183" s="90">
        <f t="shared" ca="1" si="94"/>
        <v>2.4213011542497376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6">L185+L186</f>
        <v>352500</v>
      </c>
      <c r="M184" s="495">
        <f t="shared" ca="1" si="96"/>
        <v>190600</v>
      </c>
      <c r="N184" s="495">
        <f t="shared" ca="1" si="96"/>
        <v>4615</v>
      </c>
      <c r="O184" s="495">
        <f t="shared" ca="1" si="93"/>
        <v>1.3092198581560284</v>
      </c>
      <c r="P184" s="495">
        <f t="shared" ca="1" si="94"/>
        <v>2.4213011542497376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3"/>
        <v>0</v>
      </c>
      <c r="P185" s="90">
        <f t="shared" si="94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IFERROR(__xludf.DUMMYFUNCTION("IMPORTRANGE(""https://docs.google.com/spreadsheets/d/1MeEWN-I1oV_STSDYn1IFDPWt_1FKiwhDph83XaGc0o0/edit?usp=sharing"",""งบพรบ!CO53"")"),352500)</f>
        <v>352500</v>
      </c>
      <c r="M186" s="90">
        <f ca="1">IFERROR(__xludf.DUMMYFUNCTION("IMPORTRANGE(""https://docs.google.com/spreadsheets/d/1MeEWN-I1oV_STSDYn1IFDPWt_1FKiwhDph83XaGc0o0/edit?usp=sharing"",""งบพรบ!CT53"")"),190600)</f>
        <v>190600</v>
      </c>
      <c r="N186" s="90">
        <f ca="1">IFERROR(__xludf.DUMMYFUNCTION("IMPORTRANGE(""https://docs.google.com/spreadsheets/d/1MeEWN-I1oV_STSDYn1IFDPWt_1FKiwhDph83XaGc0o0/edit?usp=sharing"",""งบพรบ!CV53"")"),4615)</f>
        <v>4615</v>
      </c>
      <c r="O186" s="90">
        <f t="shared" ca="1" si="93"/>
        <v>1.3092198581560284</v>
      </c>
      <c r="P186" s="90">
        <f t="shared" ca="1" si="94"/>
        <v>2.4213011542497376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7">L188+L189</f>
        <v>0</v>
      </c>
      <c r="M187" s="495">
        <f t="shared" ca="1" si="97"/>
        <v>0</v>
      </c>
      <c r="N187" s="495">
        <f t="shared" ca="1" si="97"/>
        <v>0</v>
      </c>
      <c r="O187" s="495">
        <f t="shared" ca="1" si="93"/>
        <v>0</v>
      </c>
      <c r="P187" s="495">
        <f t="shared" ca="1" si="94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3"/>
        <v>0</v>
      </c>
      <c r="P188" s="90">
        <f t="shared" si="94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IFERROR(__xludf.DUMMYFUNCTION("IMPORTRANGE(""https://docs.google.com/spreadsheets/d/1MeEWN-I1oV_STSDYn1IFDPWt_1FKiwhDph83XaGc0o0/edit?usp=sharing"",""งบพรบ!CR53"")"),0)</f>
        <v>0</v>
      </c>
      <c r="M189" s="90">
        <f ca="1">IFERROR(__xludf.DUMMYFUNCTION("IMPORTRANGE(""https://docs.google.com/spreadsheets/d/1MeEWN-I1oV_STSDYn1IFDPWt_1FKiwhDph83XaGc0o0/edit?usp=sharing"",""งบพรบ!CU53"")"),0)</f>
        <v>0</v>
      </c>
      <c r="N189" s="90">
        <f ca="1">IFERROR(__xludf.DUMMYFUNCTION("IMPORTRANGE(""https://docs.google.com/spreadsheets/d/1MeEWN-I1oV_STSDYn1IFDPWt_1FKiwhDph83XaGc0o0/edit?usp=sharing"",""งบพรบ!CW53"")"),0)</f>
        <v>0</v>
      </c>
      <c r="O189" s="90">
        <f t="shared" ca="1" si="93"/>
        <v>0</v>
      </c>
      <c r="P189" s="90">
        <f t="shared" ca="1" si="94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8">I193</f>
        <v>4</v>
      </c>
      <c r="J190" s="266">
        <f t="shared" si="98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IFERROR(__xludf.DUMMYFUNCTION("IMPORTRANGE(""https://docs.google.com/spreadsheets/d/1QqKyyYR6Q21VydFLVH3TRQUabQu_ym0Zz7PgGX0-kHA/edit?usp=sharing"",""แผน!Z53"")"),6000)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IFERROR(__xludf.DUMMYFUNCTION("IMPORTRANGE(""https://docs.google.com/spreadsheets/d/1QqKyyYR6Q21VydFLVH3TRQUabQu_ym0Zz7PgGX0-kHA/edit?usp=sharing"",""แผน!AC53"")"),4)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9">I204</f>
        <v>4</v>
      </c>
      <c r="J197" s="266">
        <f t="shared" si="99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57000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IFERROR(__xludf.DUMMYFUNCTION("IMPORTRANGE(""https://docs.google.com/spreadsheets/d/1QqKyyYR6Q21VydFLVH3TRQUabQu_ym0Zz7PgGX0-kHA/edit?usp=sharing"",""แผน!AE53"")"),4000)</f>
        <v>4000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IFERROR(__xludf.DUMMYFUNCTION("IMPORTRANGE(""https://docs.google.com/spreadsheets/d/1QqKyyYR6Q21VydFLVH3TRQUabQu_ym0Zz7PgGX0-kHA/edit?usp=sharing"",""แผน!AF53"")"),32000)</f>
        <v>32000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IFERROR(__xludf.DUMMYFUNCTION("IMPORTRANGE(""https://docs.google.com/spreadsheets/d/1QqKyyYR6Q21VydFLVH3TRQUabQu_ym0Zz7PgGX0-kHA/edit?usp=sharing"",""แผน!AG53"")"),16000)</f>
        <v>16000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IFERROR(__xludf.DUMMYFUNCTION("IMPORTRANGE(""https://docs.google.com/spreadsheets/d/1QqKyyYR6Q21VydFLVH3TRQUabQu_ym0Zz7PgGX0-kHA/edit?usp=sharing"",""แผน!AH53"")"),5000)</f>
        <v>5000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IFERROR(__xludf.DUMMYFUNCTION("IMPORTRANGE(""https://docs.google.com/spreadsheets/d/1QqKyyYR6Q21VydFLVH3TRQUabQu_ym0Zz7PgGX0-kHA/edit?usp=sharing"",""แผน!AI53"")"),4)</f>
        <v>4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445" t="s">
        <v>102</v>
      </c>
      <c r="F206" s="174"/>
      <c r="G206" s="175"/>
      <c r="H206" s="752" t="s">
        <v>96</v>
      </c>
      <c r="I206" s="264">
        <v>4</v>
      </c>
      <c r="J206" s="210">
        <v>0</v>
      </c>
      <c r="K206" s="159">
        <f t="shared" ref="K206:K208" si="100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5"/>
      <c r="H207" s="754" t="s">
        <v>104</v>
      </c>
      <c r="I207" s="264">
        <v>1</v>
      </c>
      <c r="J207" s="210">
        <v>0</v>
      </c>
      <c r="K207" s="159">
        <f t="shared" si="100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1">I215</f>
        <v>6</v>
      </c>
      <c r="J208" s="266">
        <f t="shared" si="101"/>
        <v>0</v>
      </c>
      <c r="K208" s="267">
        <f t="shared" ca="1" si="100"/>
        <v>0</v>
      </c>
      <c r="L208" s="256"/>
      <c r="M208" s="256"/>
      <c r="N208" s="256"/>
      <c r="O208" s="256"/>
      <c r="P208" s="256"/>
    </row>
    <row r="209" spans="1:26" ht="19.5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84000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IFERROR(__xludf.DUMMYFUNCTION("IMPORTRANGE(""https://docs.google.com/spreadsheets/d/1QqKyyYR6Q21VydFLVH3TRQUabQu_ym0Zz7PgGX0-kHA/edit?usp=sharing"",""แผน!AK53"")"),6000)</f>
        <v>6000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IFERROR(__xludf.DUMMYFUNCTION("IMPORTRANGE(""https://docs.google.com/spreadsheets/d/1QqKyyYR6Q21VydFLVH3TRQUabQu_ym0Zz7PgGX0-kHA/edit?usp=sharing"",""แผน!AL53"")"),30000)</f>
        <v>30000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IFERROR(__xludf.DUMMYFUNCTION("IMPORTRANGE(""https://docs.google.com/spreadsheets/d/1QqKyyYR6Q21VydFLVH3TRQUabQu_ym0Zz7PgGX0-kHA/edit?usp=sharing"",""แผน!AM53"")"),48000)</f>
        <v>48000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IFERROR(__xludf.DUMMYFUNCTION("IMPORTRANGE(""https://docs.google.com/spreadsheets/d/1QqKyyYR6Q21VydFLVH3TRQUabQu_ym0Zz7PgGX0-kHA/edit?usp=sharing"",""แผน!AN53"")"),6)</f>
        <v>6</v>
      </c>
      <c r="J214" s="210">
        <v>0</v>
      </c>
      <c r="K214" s="495">
        <f t="shared" ref="K214:K216" ca="1" si="102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IFERROR(__xludf.DUMMYFUNCTION("IMPORTRANGE(""https://docs.google.com/spreadsheets/d/1QqKyyYR6Q21VydFLVH3TRQUabQu_ym0Zz7PgGX0-kHA/edit?usp=sharing"",""แผน!AN53"")"),6)</f>
        <v>6</v>
      </c>
      <c r="J215" s="210">
        <v>0</v>
      </c>
      <c r="K215" s="495">
        <f t="shared" ca="1" si="102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3">I224</f>
        <v>30000</v>
      </c>
      <c r="J216" s="266">
        <f t="shared" si="103"/>
        <v>0</v>
      </c>
      <c r="K216" s="267">
        <f t="shared" ca="1" si="102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13500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IFERROR(__xludf.DUMMYFUNCTION("IMPORTRANGE(""https://docs.google.com/spreadsheets/d/1QqKyyYR6Q21VydFLVH3TRQUabQu_ym0Zz7PgGX0-kHA/edit?usp=sharing"",""แผน!AP53"")"),5000)</f>
        <v>5000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IFERROR(__xludf.DUMMYFUNCTION("IMPORTRANGE(""https://docs.google.com/spreadsheets/d/1QqKyyYR6Q21VydFLVH3TRQUabQu_ym0Zz7PgGX0-kHA/edit?usp=sharing"",""แผน!AQ53"")"),8500)</f>
        <v>8500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IFERROR(__xludf.DUMMYFUNCTION("IMPORTRANGE(""https://docs.google.com/spreadsheets/d/1QqKyyYR6Q21VydFLVH3TRQUabQu_ym0Zz7PgGX0-kHA/edit?usp=sharing"",""แผน!AR53"")"),0)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IFERROR(__xludf.DUMMYFUNCTION("IMPORTRANGE(""https://docs.google.com/spreadsheets/d/1QqKyyYR6Q21VydFLVH3TRQUabQu_ym0Zz7PgGX0-kHA/edit?usp=sharing"",""แผน!AT53"")"),30000)</f>
        <v>30000</v>
      </c>
      <c r="J223" s="210">
        <v>0</v>
      </c>
      <c r="K223" s="159">
        <f t="shared" ref="K223:K226" ca="1" si="104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IFERROR(__xludf.DUMMYFUNCTION("IMPORTRANGE(""https://docs.google.com/spreadsheets/d/1QqKyyYR6Q21VydFLVH3TRQUabQu_ym0Zz7PgGX0-kHA/edit?usp=sharing"",""แผน!AT53"")"),30000)</f>
        <v>30000</v>
      </c>
      <c r="J224" s="210">
        <v>0</v>
      </c>
      <c r="K224" s="159">
        <f t="shared" ca="1" si="104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IFERROR(__xludf.DUMMYFUNCTION("IMPORTRANGE(""https://docs.google.com/spreadsheets/d/1QqKyyYR6Q21VydFLVH3TRQUabQu_ym0Zz7PgGX0-kHA/edit?usp=sharing"",""แผน!AS53"")"),0)</f>
        <v>0</v>
      </c>
      <c r="J225" s="210">
        <v>0</v>
      </c>
      <c r="K225" s="159">
        <f t="shared" ca="1" si="104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>
        <f t="shared" ref="I226:J226" ca="1" si="105">I237+I248</f>
        <v>30</v>
      </c>
      <c r="J226" s="340">
        <f t="shared" si="105"/>
        <v>0</v>
      </c>
      <c r="K226" s="341">
        <f t="shared" ca="1" si="104"/>
        <v>0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6">L238+L249</f>
        <v>120200</v>
      </c>
      <c r="M227" s="351"/>
      <c r="N227" s="351">
        <f t="shared" ref="N227:N231" si="107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6"/>
        <v>20000</v>
      </c>
      <c r="M228" s="90"/>
      <c r="N228" s="90">
        <f t="shared" si="107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6"/>
        <v>55200</v>
      </c>
      <c r="M229" s="90"/>
      <c r="N229" s="90">
        <f t="shared" si="107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6"/>
        <v>15000</v>
      </c>
      <c r="M230" s="90"/>
      <c r="N230" s="90">
        <f t="shared" si="107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6"/>
        <v>30000</v>
      </c>
      <c r="M231" s="90"/>
      <c r="N231" s="90">
        <f t="shared" si="107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>
        <f t="shared" ref="I233:J233" ca="1" si="108">I244+I255</f>
        <v>30</v>
      </c>
      <c r="J233" s="609">
        <f t="shared" si="108"/>
        <v>0</v>
      </c>
      <c r="K233" s="90">
        <f ca="1">IF(I233&gt;0,J233*100/I233,0)</f>
        <v>0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9">I246+I257</f>
        <v>30</v>
      </c>
      <c r="J235" s="609">
        <f t="shared" si="109"/>
        <v>0</v>
      </c>
      <c r="K235" s="90">
        <f t="shared" ref="K235:K237" si="110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9"/>
        <v>1</v>
      </c>
      <c r="J236" s="609">
        <f t="shared" si="109"/>
        <v>0</v>
      </c>
      <c r="K236" s="90">
        <f t="shared" si="110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330</v>
      </c>
      <c r="D237" s="251"/>
      <c r="E237" s="251"/>
      <c r="F237" s="251"/>
      <c r="G237" s="253"/>
      <c r="H237" s="254" t="s">
        <v>35</v>
      </c>
      <c r="I237" s="266">
        <f t="shared" ref="I237:J237" ca="1" si="111">I244</f>
        <v>30</v>
      </c>
      <c r="J237" s="266">
        <f t="shared" si="111"/>
        <v>0</v>
      </c>
      <c r="K237" s="267">
        <f t="shared" ca="1" si="110"/>
        <v>0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120200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IFERROR(__xludf.DUMMYFUNCTION("IMPORTRANGE(""https://docs.google.com/spreadsheets/d/1QqKyyYR6Q21VydFLVH3TRQUabQu_ym0Zz7PgGX0-kHA/edit?usp=sharing"",""แผน!AV53"")"),20000)</f>
        <v>20000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IFERROR(__xludf.DUMMYFUNCTION("IMPORTRANGE(""https://docs.google.com/spreadsheets/d/1QqKyyYR6Q21VydFLVH3TRQUabQu_ym0Zz7PgGX0-kHA/edit?usp=sharing"",""แผน!AW53"")"),55200)</f>
        <v>55200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IFERROR(__xludf.DUMMYFUNCTION("IMPORTRANGE(""https://docs.google.com/spreadsheets/d/1QqKyyYR6Q21VydFLVH3TRQUabQu_ym0Zz7PgGX0-kHA/edit?usp=sharing"",""แผน!AX53"")"),15000)</f>
        <v>15000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IFERROR(__xludf.DUMMYFUNCTION("IMPORTRANGE(""https://docs.google.com/spreadsheets/d/1QqKyyYR6Q21VydFLVH3TRQUabQu_ym0Zz7PgGX0-kHA/edit?usp=sharing"",""แผน!AY53"")"),30000)</f>
        <v>30000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IFERROR(__xludf.DUMMYFUNCTION("IMPORTRANGE(""https://docs.google.com/spreadsheets/d/1QqKyyYR6Q21VydFLVH3TRQUabQu_ym0Zz7PgGX0-kHA/edit?usp=sharing"",""แผน!BE53"")"),30)</f>
        <v>30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30</v>
      </c>
      <c r="J246" s="210">
        <v>0</v>
      </c>
      <c r="K246" s="495">
        <f t="shared" ref="K246:K248" si="112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2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>
        <f t="shared" ref="I248:J248" ca="1" si="113">I255</f>
        <v>0</v>
      </c>
      <c r="J248" s="266">
        <f t="shared" si="113"/>
        <v>0</v>
      </c>
      <c r="K248" s="267">
        <f t="shared" ca="1" si="112"/>
        <v>0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IFERROR(__xludf.DUMMYFUNCTION("IMPORTRANGE(""https://docs.google.com/spreadsheets/d/1QqKyyYR6Q21VydFLVH3TRQUabQu_ym0Zz7PgGX0-kHA/edit?usp=sharing"",""แผน!AZ53"")"),0)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IFERROR(__xludf.DUMMYFUNCTION("IMPORTRANGE(""https://docs.google.com/spreadsheets/d/1QqKyyYR6Q21VydFLVH3TRQUabQu_ym0Zz7PgGX0-kHA/edit?usp=sharing"",""แผน!BA53"")"),0)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IFERROR(__xludf.DUMMYFUNCTION("IMPORTRANGE(""https://docs.google.com/spreadsheets/d/1QqKyyYR6Q21VydFLVH3TRQUabQu_ym0Zz7PgGX0-kHA/edit?usp=sharing"",""แผน!BB53"")"),0)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IFERROR(__xludf.DUMMYFUNCTION("IMPORTRANGE(""https://docs.google.com/spreadsheets/d/1QqKyyYR6Q21VydFLVH3TRQUabQu_ym0Zz7PgGX0-kHA/edit?usp=sharing"",""แผน!BC53"")"),0)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>
        <f ca="1">IFERROR(__xludf.DUMMYFUNCTION("IMPORTRANGE(""https://docs.google.com/spreadsheets/d/1QqKyyYR6Q21VydFLVH3TRQUabQu_ym0Zz7PgGX0-kHA/edit?usp=sharing"",""แผน!BF53"")"),0)</f>
        <v>0</v>
      </c>
      <c r="J255" s="210">
        <v>0</v>
      </c>
      <c r="K255" s="495">
        <f ca="1">IF(I255&gt;0,J255*100/I255,0)</f>
        <v>0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4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4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5">I271</f>
        <v>28</v>
      </c>
      <c r="J260" s="371">
        <f t="shared" si="115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6">L262+L263</f>
        <v>32600</v>
      </c>
      <c r="M261" s="151">
        <f t="shared" ca="1" si="116"/>
        <v>0</v>
      </c>
      <c r="N261" s="151">
        <f t="shared" ca="1" si="116"/>
        <v>0</v>
      </c>
      <c r="O261" s="151">
        <f t="shared" ref="O261:O269" ca="1" si="117">IF(L261&gt;0,N261*100/L261,0)</f>
        <v>0</v>
      </c>
      <c r="P261" s="151">
        <f t="shared" ref="P261:P269" ca="1" si="118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9">L265+L268</f>
        <v>0</v>
      </c>
      <c r="M262" s="90">
        <f t="shared" si="119"/>
        <v>0</v>
      </c>
      <c r="N262" s="90">
        <f t="shared" si="119"/>
        <v>0</v>
      </c>
      <c r="O262" s="90">
        <f t="shared" si="117"/>
        <v>0</v>
      </c>
      <c r="P262" s="90">
        <f t="shared" si="118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9"/>
        <v>32600</v>
      </c>
      <c r="M263" s="90">
        <f t="shared" ca="1" si="119"/>
        <v>0</v>
      </c>
      <c r="N263" s="90">
        <f t="shared" ca="1" si="119"/>
        <v>0</v>
      </c>
      <c r="O263" s="90">
        <f t="shared" ca="1" si="117"/>
        <v>0</v>
      </c>
      <c r="P263" s="90">
        <f t="shared" ca="1" si="118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20">L265+L266</f>
        <v>32600</v>
      </c>
      <c r="M264" s="495">
        <f t="shared" ca="1" si="120"/>
        <v>0</v>
      </c>
      <c r="N264" s="495">
        <f t="shared" ca="1" si="120"/>
        <v>0</v>
      </c>
      <c r="O264" s="495">
        <f t="shared" ca="1" si="117"/>
        <v>0</v>
      </c>
      <c r="P264" s="495">
        <f t="shared" ca="1" si="118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7"/>
        <v>0</v>
      </c>
      <c r="P265" s="90">
        <f t="shared" si="118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IFERROR(__xludf.DUMMYFUNCTION("IMPORTRANGE(""https://docs.google.com/spreadsheets/d/1MeEWN-I1oV_STSDYn1IFDPWt_1FKiwhDph83XaGc0o0/edit?usp=sharing"",""งบพรบ!CY53"")"),32600)</f>
        <v>32600</v>
      </c>
      <c r="M266" s="90">
        <f ca="1">IFERROR(__xludf.DUMMYFUNCTION("IMPORTRANGE(""https://docs.google.com/spreadsheets/d/1MeEWN-I1oV_STSDYn1IFDPWt_1FKiwhDph83XaGc0o0/edit?usp=sharing"",""งบพรบ!DD53"")"),0)</f>
        <v>0</v>
      </c>
      <c r="N266" s="90">
        <f ca="1">IFERROR(__xludf.DUMMYFUNCTION("IMPORTRANGE(""https://docs.google.com/spreadsheets/d/1MeEWN-I1oV_STSDYn1IFDPWt_1FKiwhDph83XaGc0o0/edit?usp=sharing"",""งบพรบ!DF53"")"),0)</f>
        <v>0</v>
      </c>
      <c r="O266" s="90">
        <f t="shared" ca="1" si="117"/>
        <v>0</v>
      </c>
      <c r="P266" s="90">
        <f t="shared" ca="1" si="118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1">L268+L269</f>
        <v>0</v>
      </c>
      <c r="M267" s="495">
        <f t="shared" ca="1" si="121"/>
        <v>0</v>
      </c>
      <c r="N267" s="495">
        <f t="shared" ca="1" si="121"/>
        <v>0</v>
      </c>
      <c r="O267" s="495">
        <f t="shared" ca="1" si="117"/>
        <v>0</v>
      </c>
      <c r="P267" s="495">
        <f t="shared" ca="1" si="118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7"/>
        <v>0</v>
      </c>
      <c r="P268" s="90">
        <f t="shared" si="118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IFERROR(__xludf.DUMMYFUNCTION("IMPORTRANGE(""https://docs.google.com/spreadsheets/d/1MeEWN-I1oV_STSDYn1IFDPWt_1FKiwhDph83XaGc0o0/edit?usp=sharing"",""งบพรบ!DB53"")"),0)</f>
        <v>0</v>
      </c>
      <c r="M269" s="90">
        <f ca="1">IFERROR(__xludf.DUMMYFUNCTION("IMPORTRANGE(""https://docs.google.com/spreadsheets/d/1MeEWN-I1oV_STSDYn1IFDPWt_1FKiwhDph83XaGc0o0/edit?usp=sharing"",""งบพรบ!DE53"")"),0)</f>
        <v>0</v>
      </c>
      <c r="N269" s="90">
        <f ca="1">IFERROR(__xludf.DUMMYFUNCTION("IMPORTRANGE(""https://docs.google.com/spreadsheets/d/1MeEWN-I1oV_STSDYn1IFDPWt_1FKiwhDph83XaGc0o0/edit?usp=sharing"",""งบพรบ!DG53"")"),0)</f>
        <v>0</v>
      </c>
      <c r="O269" s="90">
        <f t="shared" ca="1" si="117"/>
        <v>0</v>
      </c>
      <c r="P269" s="90">
        <f t="shared" ca="1" si="118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IFERROR(__xludf.DUMMYFUNCTION("IMPORTRANGE(""https://docs.google.com/spreadsheets/d/1QqKyyYR6Q21VydFLVH3TRQUabQu_ym0Zz7PgGX0-kHA/edit?usp=sharing"",""แผน!EA53"")"),28)</f>
        <v>28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2">I288</f>
        <v>25</v>
      </c>
      <c r="J275" s="403">
        <f t="shared" ca="1" si="122"/>
        <v>0</v>
      </c>
      <c r="K275" s="404">
        <f t="shared" ref="K275:K276" ca="1" si="123">IF(I275&gt;0,J275*100/I275,0)</f>
        <v>0</v>
      </c>
      <c r="L275" s="405"/>
      <c r="M275" s="405"/>
      <c r="N275" s="405"/>
      <c r="O275" s="405"/>
      <c r="P275" s="405"/>
    </row>
    <row r="276" spans="1:26" ht="19.5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4">I287</f>
        <v>250</v>
      </c>
      <c r="J276" s="407">
        <f t="shared" si="124"/>
        <v>0</v>
      </c>
      <c r="K276" s="405">
        <f t="shared" ca="1" si="123"/>
        <v>0</v>
      </c>
      <c r="L276" s="405"/>
      <c r="M276" s="405"/>
      <c r="N276" s="405"/>
      <c r="O276" s="405"/>
      <c r="P276" s="405"/>
    </row>
    <row r="277" spans="1:26" ht="19.5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5">L278+L279</f>
        <v>194020</v>
      </c>
      <c r="M277" s="151">
        <f t="shared" ca="1" si="125"/>
        <v>89050</v>
      </c>
      <c r="N277" s="151">
        <f t="shared" ca="1" si="125"/>
        <v>14890</v>
      </c>
      <c r="O277" s="151">
        <f t="shared" ref="O277:O285" ca="1" si="126">IF(L277&gt;0,N277*100/L277,0)</f>
        <v>7.6744665498402229</v>
      </c>
      <c r="P277" s="151">
        <f t="shared" ref="P277:P285" ca="1" si="127">IF(M277&gt;0,N277*100/M277,0)</f>
        <v>16.720943290286357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8">L281+L284</f>
        <v>0</v>
      </c>
      <c r="M278" s="90">
        <f t="shared" si="128"/>
        <v>0</v>
      </c>
      <c r="N278" s="90">
        <f t="shared" si="128"/>
        <v>0</v>
      </c>
      <c r="O278" s="90">
        <f t="shared" si="126"/>
        <v>0</v>
      </c>
      <c r="P278" s="90">
        <f t="shared" si="127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8"/>
        <v>194020</v>
      </c>
      <c r="M279" s="90">
        <f t="shared" ca="1" si="128"/>
        <v>89050</v>
      </c>
      <c r="N279" s="90">
        <f t="shared" ca="1" si="128"/>
        <v>14890</v>
      </c>
      <c r="O279" s="90">
        <f t="shared" ca="1" si="126"/>
        <v>7.6744665498402229</v>
      </c>
      <c r="P279" s="90">
        <f t="shared" ca="1" si="127"/>
        <v>16.720943290286357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9">L281+L282</f>
        <v>194020</v>
      </c>
      <c r="M280" s="495">
        <f t="shared" ca="1" si="129"/>
        <v>89050</v>
      </c>
      <c r="N280" s="495">
        <f t="shared" ca="1" si="129"/>
        <v>14890</v>
      </c>
      <c r="O280" s="495">
        <f t="shared" ca="1" si="126"/>
        <v>7.6744665498402229</v>
      </c>
      <c r="P280" s="495">
        <f t="shared" ca="1" si="127"/>
        <v>16.720943290286357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6"/>
        <v>0</v>
      </c>
      <c r="P281" s="90">
        <f t="shared" si="127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IFERROR(__xludf.DUMMYFUNCTION("IMPORTRANGE(""https://docs.google.com/spreadsheets/d/1MeEWN-I1oV_STSDYn1IFDPWt_1FKiwhDph83XaGc0o0/edit?usp=sharing"",""งบพรบ!DI53"")"),194020)</f>
        <v>194020</v>
      </c>
      <c r="M282" s="90">
        <f ca="1">IFERROR(__xludf.DUMMYFUNCTION("IMPORTRANGE(""https://docs.google.com/spreadsheets/d/1MeEWN-I1oV_STSDYn1IFDPWt_1FKiwhDph83XaGc0o0/edit?usp=sharing"",""งบพรบ!DN53"")"),89050)</f>
        <v>89050</v>
      </c>
      <c r="N282" s="90">
        <f ca="1">IFERROR(__xludf.DUMMYFUNCTION("IMPORTRANGE(""https://docs.google.com/spreadsheets/d/1MeEWN-I1oV_STSDYn1IFDPWt_1FKiwhDph83XaGc0o0/edit?usp=sharing"",""งบพรบ!DP53"")"),14890)</f>
        <v>14890</v>
      </c>
      <c r="O282" s="90">
        <f t="shared" ca="1" si="126"/>
        <v>7.6744665498402229</v>
      </c>
      <c r="P282" s="90">
        <f t="shared" ca="1" si="127"/>
        <v>16.720943290286357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30">L284+L285</f>
        <v>0</v>
      </c>
      <c r="M283" s="495">
        <f t="shared" ca="1" si="130"/>
        <v>0</v>
      </c>
      <c r="N283" s="495">
        <f t="shared" ca="1" si="130"/>
        <v>0</v>
      </c>
      <c r="O283" s="495">
        <f t="shared" ca="1" si="126"/>
        <v>0</v>
      </c>
      <c r="P283" s="495">
        <f t="shared" ca="1" si="127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6"/>
        <v>0</v>
      </c>
      <c r="P284" s="90">
        <f t="shared" si="127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IFERROR(__xludf.DUMMYFUNCTION("IMPORTRANGE(""https://docs.google.com/spreadsheets/d/1MeEWN-I1oV_STSDYn1IFDPWt_1FKiwhDph83XaGc0o0/edit?usp=sharing"",""งบพรบ!DL53"")"),0)</f>
        <v>0</v>
      </c>
      <c r="M285" s="90">
        <f ca="1">IFERROR(__xludf.DUMMYFUNCTION("IMPORTRANGE(""https://docs.google.com/spreadsheets/d/1MeEWN-I1oV_STSDYn1IFDPWt_1FKiwhDph83XaGc0o0/edit?usp=sharing"",""งบพรบ!DO53"")"),0)</f>
        <v>0</v>
      </c>
      <c r="N285" s="90">
        <f ca="1">IFERROR(__xludf.DUMMYFUNCTION("IMPORTRANGE(""https://docs.google.com/spreadsheets/d/1MeEWN-I1oV_STSDYn1IFDPWt_1FKiwhDph83XaGc0o0/edit?usp=sharing"",""งบพรบ!DQ53"")"),0)</f>
        <v>0</v>
      </c>
      <c r="O285" s="90">
        <f t="shared" ca="1" si="126"/>
        <v>0</v>
      </c>
      <c r="P285" s="90">
        <f t="shared" ca="1" si="127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IFERROR(__xludf.DUMMYFUNCTION("IMPORTRANGE(""https://docs.google.com/spreadsheets/d/1QqKyyYR6Q21VydFLVH3TRQUabQu_ym0Zz7PgGX0-kHA/edit?usp=sharing"",""แผน!EC53"")"),250)</f>
        <v>250</v>
      </c>
      <c r="J287" s="210">
        <v>0</v>
      </c>
      <c r="K287" s="159">
        <f t="shared" ref="K287:K288" ca="1" si="131">IF(I287&gt;0,J287*100/I287,0)</f>
        <v>0</v>
      </c>
      <c r="L287" s="159"/>
      <c r="M287" s="159"/>
      <c r="N287" s="159"/>
      <c r="O287" s="159"/>
      <c r="P287" s="159"/>
    </row>
    <row r="288" spans="1:26" ht="19.5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IFERROR(__xludf.DUMMYFUNCTION("IMPORTRANGE(""https://docs.google.com/spreadsheets/d/1QqKyyYR6Q21VydFLVH3TRQUabQu_ym0Zz7PgGX0-kHA/edit?usp=sharing"",""แผน!EB53"")"),25)</f>
        <v>25</v>
      </c>
      <c r="J288" s="673">
        <f ca="1">IF(AND(J291&gt;=I288,J294&gt;=I288),J294,0)</f>
        <v>0</v>
      </c>
      <c r="K288" s="409">
        <f t="shared" ca="1" si="131"/>
        <v>0</v>
      </c>
      <c r="L288" s="159"/>
      <c r="M288" s="159"/>
      <c r="N288" s="159"/>
      <c r="O288" s="159"/>
      <c r="P288" s="159"/>
    </row>
    <row r="289" spans="1:26" ht="19.5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IFERROR(__xludf.DUMMYFUNCTION("IMPORTRANGE(""https://docs.google.com/spreadsheets/d/1QqKyyYR6Q21VydFLVH3TRQUabQu_ym0Zz7PgGX0-kHA/edit?usp=sharing"",""แผน!EB53"")"),25)</f>
        <v>25</v>
      </c>
      <c r="J290" s="210">
        <v>0</v>
      </c>
      <c r="K290" s="159">
        <f t="shared" ref="K290:K291" ca="1" si="132">IF(I290&gt;0,J290*100/I290,0)</f>
        <v>0</v>
      </c>
      <c r="L290" s="159"/>
      <c r="M290" s="159"/>
      <c r="N290" s="159"/>
      <c r="O290" s="159"/>
      <c r="P290" s="159"/>
    </row>
    <row r="291" spans="1:26" ht="19.5">
      <c r="A291" s="166"/>
      <c r="B291" s="167"/>
      <c r="C291" s="167"/>
      <c r="D291" s="174"/>
      <c r="E291" s="618" t="s">
        <v>133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IFERROR(__xludf.DUMMYFUNCTION("IMPORTRANGE(""https://docs.google.com/spreadsheets/d/1QqKyyYR6Q21VydFLVH3TRQUabQu_ym0Zz7PgGX0-kHA/edit?usp=sharing"",""แผน!EB53"")"),25)</f>
        <v>25</v>
      </c>
      <c r="J291" s="210">
        <v>0</v>
      </c>
      <c r="K291" s="159">
        <f t="shared" ca="1" si="132"/>
        <v>0</v>
      </c>
      <c r="L291" s="159"/>
      <c r="M291" s="159"/>
      <c r="N291" s="159"/>
      <c r="O291" s="159"/>
      <c r="P291" s="159"/>
    </row>
    <row r="292" spans="1:26" ht="19.5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IFERROR(__xludf.DUMMYFUNCTION("IMPORTRANGE(""https://docs.google.com/spreadsheets/d/1QqKyyYR6Q21VydFLVH3TRQUabQu_ym0Zz7PgGX0-kHA/edit?usp=sharing"",""แผน!EB53"")"),25)</f>
        <v>25</v>
      </c>
      <c r="J293" s="210">
        <v>0</v>
      </c>
      <c r="K293" s="159">
        <f t="shared" ref="K293:K294" ca="1" si="133">IF(I293&gt;0,J293*100/I293,0)</f>
        <v>0</v>
      </c>
      <c r="L293" s="159"/>
      <c r="M293" s="159"/>
      <c r="N293" s="159"/>
      <c r="O293" s="159"/>
      <c r="P293" s="159"/>
    </row>
    <row r="294" spans="1:26" ht="19.5">
      <c r="A294" s="375"/>
      <c r="B294" s="376"/>
      <c r="C294" s="376"/>
      <c r="D294" s="378"/>
      <c r="E294" s="724" t="s">
        <v>136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IFERROR(__xludf.DUMMYFUNCTION("IMPORTRANGE(""https://docs.google.com/spreadsheets/d/1QqKyyYR6Q21VydFLVH3TRQUabQu_ym0Zz7PgGX0-kHA/edit?usp=sharing"",""แผน!EB53"")"),25)</f>
        <v>25</v>
      </c>
      <c r="J294" s="422">
        <v>0</v>
      </c>
      <c r="K294" s="382">
        <f t="shared" ca="1" si="133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4">I309</f>
        <v>20</v>
      </c>
      <c r="J297" s="442">
        <f t="shared" si="134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5">L299+L300</f>
        <v>368400</v>
      </c>
      <c r="M298" s="151">
        <f t="shared" ca="1" si="135"/>
        <v>179120</v>
      </c>
      <c r="N298" s="151">
        <f t="shared" ca="1" si="135"/>
        <v>38340</v>
      </c>
      <c r="O298" s="151">
        <f t="shared" ref="O298:O306" ca="1" si="136">IF(L298&gt;0,N298*100/L298,0)</f>
        <v>10.407166123778502</v>
      </c>
      <c r="P298" s="151">
        <f t="shared" ref="P298:P306" ca="1" si="137">IF(M298&gt;0,N298*100/M298,0)</f>
        <v>21.404644930772665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8">L302+L305</f>
        <v>0</v>
      </c>
      <c r="M299" s="90">
        <f t="shared" si="138"/>
        <v>0</v>
      </c>
      <c r="N299" s="90">
        <f t="shared" si="138"/>
        <v>0</v>
      </c>
      <c r="O299" s="90">
        <f t="shared" si="136"/>
        <v>0</v>
      </c>
      <c r="P299" s="90">
        <f t="shared" si="137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8"/>
        <v>368400</v>
      </c>
      <c r="M300" s="90">
        <f t="shared" ca="1" si="138"/>
        <v>179120</v>
      </c>
      <c r="N300" s="90">
        <f t="shared" ca="1" si="138"/>
        <v>38340</v>
      </c>
      <c r="O300" s="90">
        <f t="shared" ca="1" si="136"/>
        <v>10.407166123778502</v>
      </c>
      <c r="P300" s="90">
        <f t="shared" ca="1" si="137"/>
        <v>21.404644930772665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9">L302+L303</f>
        <v>368400</v>
      </c>
      <c r="M301" s="495">
        <f t="shared" ca="1" si="139"/>
        <v>179120</v>
      </c>
      <c r="N301" s="495">
        <f t="shared" ca="1" si="139"/>
        <v>38340</v>
      </c>
      <c r="O301" s="495">
        <f t="shared" ca="1" si="136"/>
        <v>10.407166123778502</v>
      </c>
      <c r="P301" s="495">
        <f t="shared" ca="1" si="137"/>
        <v>21.404644930772665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6"/>
        <v>0</v>
      </c>
      <c r="P302" s="90">
        <f t="shared" si="137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IFERROR(__xludf.DUMMYFUNCTION("IMPORTRANGE(""https://docs.google.com/spreadsheets/d/1MeEWN-I1oV_STSDYn1IFDPWt_1FKiwhDph83XaGc0o0/edit?usp=sharing"",""งบพรบ!DS53"")"),368400)</f>
        <v>368400</v>
      </c>
      <c r="M303" s="90">
        <f ca="1">IFERROR(__xludf.DUMMYFUNCTION("IMPORTRANGE(""https://docs.google.com/spreadsheets/d/1MeEWN-I1oV_STSDYn1IFDPWt_1FKiwhDph83XaGc0o0/edit?usp=sharing"",""งบพรบ!DX53"")"),179120)</f>
        <v>179120</v>
      </c>
      <c r="N303" s="90">
        <f ca="1">IFERROR(__xludf.DUMMYFUNCTION("IMPORTRANGE(""https://docs.google.com/spreadsheets/d/1MeEWN-I1oV_STSDYn1IFDPWt_1FKiwhDph83XaGc0o0/edit?usp=sharing"",""งบพรบ!DZ53"")"),38340)</f>
        <v>38340</v>
      </c>
      <c r="O303" s="90">
        <f t="shared" ca="1" si="136"/>
        <v>10.407166123778502</v>
      </c>
      <c r="P303" s="90">
        <f t="shared" ca="1" si="137"/>
        <v>21.404644930772665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40">L305+L306</f>
        <v>0</v>
      </c>
      <c r="M304" s="495">
        <f t="shared" ca="1" si="140"/>
        <v>0</v>
      </c>
      <c r="N304" s="495">
        <f t="shared" ca="1" si="140"/>
        <v>0</v>
      </c>
      <c r="O304" s="495">
        <f t="shared" ca="1" si="136"/>
        <v>0</v>
      </c>
      <c r="P304" s="495">
        <f t="shared" ca="1" si="137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6"/>
        <v>0</v>
      </c>
      <c r="P305" s="90">
        <f t="shared" si="137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IFERROR(__xludf.DUMMYFUNCTION("IMPORTRANGE(""https://docs.google.com/spreadsheets/d/1MeEWN-I1oV_STSDYn1IFDPWt_1FKiwhDph83XaGc0o0/edit?usp=sharing"",""งบพรบ!DV53"")"),0)</f>
        <v>0</v>
      </c>
      <c r="M306" s="90">
        <f ca="1">IFERROR(__xludf.DUMMYFUNCTION("IMPORTRANGE(""https://docs.google.com/spreadsheets/d/1MeEWN-I1oV_STSDYn1IFDPWt_1FKiwhDph83XaGc0o0/edit?usp=sharing"",""งบพรบ!DY53"")"),0)</f>
        <v>0</v>
      </c>
      <c r="N306" s="90">
        <f ca="1">IFERROR(__xludf.DUMMYFUNCTION("IMPORTRANGE(""https://docs.google.com/spreadsheets/d/1MeEWN-I1oV_STSDYn1IFDPWt_1FKiwhDph83XaGc0o0/edit?usp=sharing"",""งบพรบ!EA53"")"),0)</f>
        <v>0</v>
      </c>
      <c r="O306" s="90">
        <f t="shared" ca="1" si="136"/>
        <v>0</v>
      </c>
      <c r="P306" s="90">
        <f t="shared" ca="1" si="137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IFERROR(__xludf.DUMMYFUNCTION("IMPORTRANGE(""https://docs.google.com/spreadsheets/d/1QqKyyYR6Q21VydFLVH3TRQUabQu_ym0Zz7PgGX0-kHA/edit?usp=sharing"",""แผน!ED53"")"),20)</f>
        <v>20</v>
      </c>
      <c r="J309" s="210">
        <v>0</v>
      </c>
      <c r="K309" s="495">
        <f t="shared" ref="K309:K312" ca="1" si="141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IFERROR(__xludf.DUMMYFUNCTION("IMPORTRANGE(""https://docs.google.com/spreadsheets/d/1QqKyyYR6Q21VydFLVH3TRQUabQu_ym0Zz7PgGX0-kHA/edit?usp=sharing"",""แผน!ED53"")"),20)</f>
        <v>20</v>
      </c>
      <c r="J310" s="210">
        <v>0</v>
      </c>
      <c r="K310" s="495">
        <f t="shared" ca="1" si="141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IFERROR(__xludf.DUMMYFUNCTION("IMPORTRANGE(""https://docs.google.com/spreadsheets/d/1QqKyyYR6Q21VydFLVH3TRQUabQu_ym0Zz7PgGX0-kHA/edit?usp=sharing"",""แผน!ED53"")"),20)</f>
        <v>20</v>
      </c>
      <c r="J311" s="210">
        <v>0</v>
      </c>
      <c r="K311" s="495">
        <f t="shared" ca="1" si="141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IFERROR(__xludf.DUMMYFUNCTION("IMPORTRANGE(""https://docs.google.com/spreadsheets/d/1QqKyyYR6Q21VydFLVH3TRQUabQu_ym0Zz7PgGX0-kHA/edit?usp=sharing"",""แผน!EE53"")"),4)</f>
        <v>4</v>
      </c>
      <c r="J312" s="210">
        <v>0</v>
      </c>
      <c r="K312" s="495">
        <f t="shared" ca="1" si="141"/>
        <v>0</v>
      </c>
      <c r="L312" s="495"/>
      <c r="M312" s="495"/>
      <c r="N312" s="495"/>
      <c r="O312" s="495"/>
      <c r="P312" s="495"/>
    </row>
    <row r="313" spans="1:26" ht="19.5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2">I325</f>
        <v>1</v>
      </c>
      <c r="J314" s="442">
        <f t="shared" si="142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3">L316+L317</f>
        <v>153000</v>
      </c>
      <c r="M315" s="151">
        <f t="shared" ca="1" si="143"/>
        <v>76500</v>
      </c>
      <c r="N315" s="151">
        <f t="shared" ca="1" si="143"/>
        <v>13000</v>
      </c>
      <c r="O315" s="151">
        <f t="shared" ref="O315:O323" ca="1" si="144">IF(L315&gt;0,N315*100/L315,0)</f>
        <v>8.4967320261437909</v>
      </c>
      <c r="P315" s="151">
        <f t="shared" ref="P315:P323" ca="1" si="145">IF(M315&gt;0,N315*100/M315,0)</f>
        <v>16.993464052287582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6">L319+L322</f>
        <v>0</v>
      </c>
      <c r="M316" s="90">
        <f t="shared" si="146"/>
        <v>0</v>
      </c>
      <c r="N316" s="90">
        <f t="shared" si="146"/>
        <v>0</v>
      </c>
      <c r="O316" s="90">
        <f t="shared" si="144"/>
        <v>0</v>
      </c>
      <c r="P316" s="90">
        <f t="shared" si="145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6"/>
        <v>153000</v>
      </c>
      <c r="M317" s="90">
        <f t="shared" ca="1" si="146"/>
        <v>76500</v>
      </c>
      <c r="N317" s="90">
        <f t="shared" ca="1" si="146"/>
        <v>13000</v>
      </c>
      <c r="O317" s="90">
        <f t="shared" ca="1" si="144"/>
        <v>8.4967320261437909</v>
      </c>
      <c r="P317" s="90">
        <f t="shared" ca="1" si="145"/>
        <v>16.993464052287582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7">L319+L320</f>
        <v>153000</v>
      </c>
      <c r="M318" s="495">
        <f t="shared" ca="1" si="147"/>
        <v>76500</v>
      </c>
      <c r="N318" s="495">
        <f t="shared" ca="1" si="147"/>
        <v>13000</v>
      </c>
      <c r="O318" s="495">
        <f t="shared" ca="1" si="144"/>
        <v>8.4967320261437909</v>
      </c>
      <c r="P318" s="495">
        <f t="shared" ca="1" si="145"/>
        <v>16.993464052287582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4"/>
        <v>0</v>
      </c>
      <c r="P319" s="90">
        <f t="shared" si="145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IFERROR(__xludf.DUMMYFUNCTION("IMPORTRANGE(""https://docs.google.com/spreadsheets/d/1MeEWN-I1oV_STSDYn1IFDPWt_1FKiwhDph83XaGc0o0/edit?usp=sharing"",""งบพรบ!EC53"")"),153000)</f>
        <v>153000</v>
      </c>
      <c r="M320" s="90">
        <f ca="1">IFERROR(__xludf.DUMMYFUNCTION("IMPORTRANGE(""https://docs.google.com/spreadsheets/d/1MeEWN-I1oV_STSDYn1IFDPWt_1FKiwhDph83XaGc0o0/edit?usp=sharing"",""งบพรบ!EH53"")"),76500)</f>
        <v>76500</v>
      </c>
      <c r="N320" s="90">
        <f ca="1">IFERROR(__xludf.DUMMYFUNCTION("IMPORTRANGE(""https://docs.google.com/spreadsheets/d/1MeEWN-I1oV_STSDYn1IFDPWt_1FKiwhDph83XaGc0o0/edit?usp=sharing"",""งบพรบ!EJ53"")"),13000)</f>
        <v>13000</v>
      </c>
      <c r="O320" s="90">
        <f t="shared" ca="1" si="144"/>
        <v>8.4967320261437909</v>
      </c>
      <c r="P320" s="90">
        <f t="shared" ca="1" si="145"/>
        <v>16.993464052287582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8">L322+L323</f>
        <v>0</v>
      </c>
      <c r="M321" s="495">
        <f t="shared" ca="1" si="148"/>
        <v>0</v>
      </c>
      <c r="N321" s="495">
        <f t="shared" ca="1" si="148"/>
        <v>0</v>
      </c>
      <c r="O321" s="495">
        <f t="shared" ca="1" si="144"/>
        <v>0</v>
      </c>
      <c r="P321" s="495">
        <f t="shared" ca="1" si="145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4"/>
        <v>0</v>
      </c>
      <c r="P322" s="90">
        <f t="shared" si="145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IFERROR(__xludf.DUMMYFUNCTION("IMPORTRANGE(""https://docs.google.com/spreadsheets/d/1MeEWN-I1oV_STSDYn1IFDPWt_1FKiwhDph83XaGc0o0/edit?usp=sharing"",""งบพรบ!EF53"")"),0)</f>
        <v>0</v>
      </c>
      <c r="M323" s="90">
        <f ca="1">IFERROR(__xludf.DUMMYFUNCTION("IMPORTRANGE(""https://docs.google.com/spreadsheets/d/1MeEWN-I1oV_STSDYn1IFDPWt_1FKiwhDph83XaGc0o0/edit?usp=sharing"",""งบพรบ!EI53"")"),0)</f>
        <v>0</v>
      </c>
      <c r="N323" s="90">
        <f ca="1">IFERROR(__xludf.DUMMYFUNCTION("IMPORTRANGE(""https://docs.google.com/spreadsheets/d/1MeEWN-I1oV_STSDYn1IFDPWt_1FKiwhDph83XaGc0o0/edit?usp=sharing"",""งบพรบ!EK53"")"),0)</f>
        <v>0</v>
      </c>
      <c r="O323" s="90">
        <f t="shared" ca="1" si="144"/>
        <v>0</v>
      </c>
      <c r="P323" s="90">
        <f t="shared" ca="1" si="145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IFERROR(__xludf.DUMMYFUNCTION("IMPORTRANGE(""https://docs.google.com/spreadsheets/d/1QqKyyYR6Q21VydFLVH3TRQUabQu_ym0Zz7PgGX0-kHA/edit?usp=sharing"",""แผน!EF53"")"),1)</f>
        <v>1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IFERROR(__xludf.DUMMYFUNCTION("IMPORTRANGE(""https://docs.google.com/spreadsheets/d/1QqKyyYR6Q21VydFLVH3TRQUabQu_ym0Zz7PgGX0-kHA/edit?usp=sharing"",""แผน!EG53"")"),1600)</f>
        <v>1600</v>
      </c>
      <c r="J327" s="442">
        <f ca="1">J338+J341+J342+J343</f>
        <v>1394</v>
      </c>
      <c r="K327" s="443">
        <f ca="1">IF(I327&gt;0,J327*100/I327,0)</f>
        <v>87.125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9">L329+L330</f>
        <v>168000</v>
      </c>
      <c r="M328" s="151">
        <f t="shared" ca="1" si="149"/>
        <v>84000</v>
      </c>
      <c r="N328" s="151">
        <f t="shared" ca="1" si="149"/>
        <v>31880</v>
      </c>
      <c r="O328" s="151">
        <f t="shared" ref="O328:O336" ca="1" si="150">IF(L328&gt;0,N328*100/L328,0)</f>
        <v>18.976190476190474</v>
      </c>
      <c r="P328" s="151">
        <f t="shared" ref="P328:P336" ca="1" si="151">IF(M328&gt;0,N328*100/M328,0)</f>
        <v>37.952380952380949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2">L332+L335</f>
        <v>0</v>
      </c>
      <c r="M329" s="90">
        <f t="shared" si="152"/>
        <v>0</v>
      </c>
      <c r="N329" s="90">
        <f t="shared" si="152"/>
        <v>0</v>
      </c>
      <c r="O329" s="90">
        <f t="shared" si="150"/>
        <v>0</v>
      </c>
      <c r="P329" s="90">
        <f t="shared" si="151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2"/>
        <v>168000</v>
      </c>
      <c r="M330" s="90">
        <f t="shared" ca="1" si="152"/>
        <v>84000</v>
      </c>
      <c r="N330" s="90">
        <f t="shared" ca="1" si="152"/>
        <v>31880</v>
      </c>
      <c r="O330" s="90">
        <f t="shared" ca="1" si="150"/>
        <v>18.976190476190474</v>
      </c>
      <c r="P330" s="90">
        <f t="shared" ca="1" si="151"/>
        <v>37.952380952380949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3">L332+L333</f>
        <v>168000</v>
      </c>
      <c r="M331" s="495">
        <f t="shared" ca="1" si="153"/>
        <v>84000</v>
      </c>
      <c r="N331" s="495">
        <f t="shared" ca="1" si="153"/>
        <v>31880</v>
      </c>
      <c r="O331" s="495">
        <f t="shared" ca="1" si="150"/>
        <v>18.976190476190474</v>
      </c>
      <c r="P331" s="495">
        <f t="shared" ca="1" si="151"/>
        <v>37.952380952380949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50"/>
        <v>0</v>
      </c>
      <c r="P332" s="90">
        <f t="shared" si="151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IFERROR(__xludf.DUMMYFUNCTION("IMPORTRANGE(""https://docs.google.com/spreadsheets/d/1MeEWN-I1oV_STSDYn1IFDPWt_1FKiwhDph83XaGc0o0/edit?usp=sharing"",""งบพรบ!EM53"")"),168000)</f>
        <v>168000</v>
      </c>
      <c r="M333" s="90">
        <f ca="1">IFERROR(__xludf.DUMMYFUNCTION("IMPORTRANGE(""https://docs.google.com/spreadsheets/d/1MeEWN-I1oV_STSDYn1IFDPWt_1FKiwhDph83XaGc0o0/edit?usp=sharing"",""งบพรบ!ER53"")"),84000)</f>
        <v>84000</v>
      </c>
      <c r="N333" s="90">
        <f ca="1">IFERROR(__xludf.DUMMYFUNCTION("IMPORTRANGE(""https://docs.google.com/spreadsheets/d/1MeEWN-I1oV_STSDYn1IFDPWt_1FKiwhDph83XaGc0o0/edit?usp=sharing"",""งบพรบ!ET53"")"),31880)</f>
        <v>31880</v>
      </c>
      <c r="O333" s="90">
        <f t="shared" ca="1" si="150"/>
        <v>18.976190476190474</v>
      </c>
      <c r="P333" s="90">
        <f t="shared" ca="1" si="151"/>
        <v>37.952380952380949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4">L335+L336</f>
        <v>0</v>
      </c>
      <c r="M334" s="495">
        <f t="shared" ca="1" si="154"/>
        <v>0</v>
      </c>
      <c r="N334" s="495">
        <f t="shared" ca="1" si="154"/>
        <v>0</v>
      </c>
      <c r="O334" s="495">
        <f t="shared" ca="1" si="150"/>
        <v>0</v>
      </c>
      <c r="P334" s="495">
        <f t="shared" ca="1" si="151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50"/>
        <v>0</v>
      </c>
      <c r="P335" s="90">
        <f t="shared" si="151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IFERROR(__xludf.DUMMYFUNCTION("IMPORTRANGE(""https://docs.google.com/spreadsheets/d/1MeEWN-I1oV_STSDYn1IFDPWt_1FKiwhDph83XaGc0o0/edit?usp=sharing"",""งบพรบ!EP53"")"),0)</f>
        <v>0</v>
      </c>
      <c r="M336" s="90">
        <f ca="1">IFERROR(__xludf.DUMMYFUNCTION("IMPORTRANGE(""https://docs.google.com/spreadsheets/d/1MeEWN-I1oV_STSDYn1IFDPWt_1FKiwhDph83XaGc0o0/edit?usp=sharing"",""งบพรบ!ES53"")"),0)</f>
        <v>0</v>
      </c>
      <c r="N336" s="90">
        <f ca="1">IFERROR(__xludf.DUMMYFUNCTION("IMPORTRANGE(""https://docs.google.com/spreadsheets/d/1MeEWN-I1oV_STSDYn1IFDPWt_1FKiwhDph83XaGc0o0/edit?usp=sharing"",""งบพรบ!EU53"")"),0)</f>
        <v>0</v>
      </c>
      <c r="O336" s="90">
        <f t="shared" ca="1" si="150"/>
        <v>0</v>
      </c>
      <c r="P336" s="90">
        <f t="shared" ca="1" si="151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IFERROR(__xludf.DUMMYFUNCTION("IMPORTRANGE(""https://docs.google.com/spreadsheets/d/1QqKyyYR6Q21VydFLVH3TRQUabQu_ym0Zz7PgGX0-kHA/edit?usp=sharing"",""แผน!EG53"")"),1600)</f>
        <v>1600</v>
      </c>
      <c r="J338" s="264">
        <f ca="1">IFERROR(__xludf.DUMMYFUNCTION("IMPORTRANGE(""https://docs.google.com/spreadsheets/d/1kVcqe37tkHyjCSG3S0O1AXqVkqjo8mSIZil3BcpIysc/edit?usp=sharing"",""ศูนย์!D53"")"),1183)</f>
        <v>1183</v>
      </c>
      <c r="K338" s="495">
        <f ca="1">IF(I338&gt;0,J338*100/I338,0)</f>
        <v>73.9375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IFERROR(__xludf.DUMMYFUNCTION("IMPORTRANGE(""https://docs.google.com/spreadsheets/d/1QqKyyYR6Q21VydFLVH3TRQUabQu_ym0Zz7PgGX0-kHA/edit?usp=sharing"",""แผน!EH53"")"),5)</f>
        <v>5</v>
      </c>
      <c r="J340" s="264">
        <f ca="1">IFERROR(__xludf.DUMMYFUNCTION("IMPORTRANGE(""https://docs.google.com/spreadsheets/d/1kVcqe37tkHyjCSG3S0O1AXqVkqjo8mSIZil3BcpIysc/edit?usp=sharing"",""ศูนย์!E53"")"),3)</f>
        <v>3</v>
      </c>
      <c r="K340" s="495">
        <f ca="1">IF(I340&gt;0,J340*100/I340,0)</f>
        <v>60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IFERROR(__xludf.DUMMYFUNCTION("IMPORTRANGE(""https://docs.google.com/spreadsheets/d/1kVcqe37tkHyjCSG3S0O1AXqVkqjo8mSIZil3BcpIysc/edit?usp=sharing"",""ศูนย์!F53"")"),211)</f>
        <v>211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IFERROR(__xludf.DUMMYFUNCTION("IMPORTRANGE(""https://docs.google.com/spreadsheets/d/1kVcqe37tkHyjCSG3S0O1AXqVkqjo8mSIZil3BcpIysc/edit?usp=sharing"",""ศูนย์!G53"")"),0)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IFERROR(__xludf.DUMMYFUNCTION("IMPORTRANGE(""https://docs.google.com/spreadsheets/d/1kVcqe37tkHyjCSG3S0O1AXqVkqjo8mSIZil3BcpIysc/edit?usp=sharing"",""ศูนย์!H53"")"),0)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5">L346+L347</f>
        <v>1015940</v>
      </c>
      <c r="M345" s="151">
        <f t="shared" ca="1" si="155"/>
        <v>568270</v>
      </c>
      <c r="N345" s="151">
        <f t="shared" ca="1" si="155"/>
        <v>232568</v>
      </c>
      <c r="O345" s="151">
        <f t="shared" ref="O345:O353" ca="1" si="156">IF(L345&gt;0,N345*100/L345,0)</f>
        <v>22.891903065141641</v>
      </c>
      <c r="P345" s="151">
        <f t="shared" ref="P345:P353" ca="1" si="157">IF(M345&gt;0,N345*100/M345,0)</f>
        <v>40.925616344343361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8">L349+L352</f>
        <v>0</v>
      </c>
      <c r="M346" s="90">
        <f t="shared" si="158"/>
        <v>0</v>
      </c>
      <c r="N346" s="90">
        <f t="shared" si="158"/>
        <v>0</v>
      </c>
      <c r="O346" s="90">
        <f t="shared" si="156"/>
        <v>0</v>
      </c>
      <c r="P346" s="90">
        <f t="shared" si="157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8"/>
        <v>1015940</v>
      </c>
      <c r="M347" s="90">
        <f t="shared" ca="1" si="158"/>
        <v>568270</v>
      </c>
      <c r="N347" s="90">
        <f t="shared" ca="1" si="158"/>
        <v>232568</v>
      </c>
      <c r="O347" s="90">
        <f t="shared" ca="1" si="156"/>
        <v>22.891903065141641</v>
      </c>
      <c r="P347" s="90">
        <f t="shared" ca="1" si="157"/>
        <v>40.925616344343361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9">L349+L350</f>
        <v>895340</v>
      </c>
      <c r="M348" s="495">
        <f t="shared" ca="1" si="159"/>
        <v>447670</v>
      </c>
      <c r="N348" s="495">
        <f t="shared" ca="1" si="159"/>
        <v>111968</v>
      </c>
      <c r="O348" s="495">
        <f t="shared" ca="1" si="156"/>
        <v>12.505640315410906</v>
      </c>
      <c r="P348" s="495">
        <f t="shared" ca="1" si="157"/>
        <v>25.011280630821812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6"/>
        <v>0</v>
      </c>
      <c r="P349" s="90">
        <f t="shared" si="157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IFERROR(__xludf.DUMMYFUNCTION("IMPORTRANGE(""https://docs.google.com/spreadsheets/d/1MeEWN-I1oV_STSDYn1IFDPWt_1FKiwhDph83XaGc0o0/edit?usp=sharing"",""งบพรบ!EW53"")"),895340)</f>
        <v>895340</v>
      </c>
      <c r="M350" s="90">
        <f ca="1">IFERROR(__xludf.DUMMYFUNCTION("IMPORTRANGE(""https://docs.google.com/spreadsheets/d/1MeEWN-I1oV_STSDYn1IFDPWt_1FKiwhDph83XaGc0o0/edit?usp=sharing"",""งบพรบ!FB53"")"),447670)</f>
        <v>447670</v>
      </c>
      <c r="N350" s="90">
        <f ca="1">IFERROR(__xludf.DUMMYFUNCTION("IMPORTRANGE(""https://docs.google.com/spreadsheets/d/1MeEWN-I1oV_STSDYn1IFDPWt_1FKiwhDph83XaGc0o0/edit?usp=sharing"",""งบพรบ!FD53"")"),111968)</f>
        <v>111968</v>
      </c>
      <c r="O350" s="90">
        <f t="shared" ca="1" si="156"/>
        <v>12.505640315410906</v>
      </c>
      <c r="P350" s="90">
        <f t="shared" ca="1" si="157"/>
        <v>25.011280630821812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60">L352+L353</f>
        <v>120600</v>
      </c>
      <c r="M351" s="495">
        <f t="shared" ca="1" si="160"/>
        <v>120600</v>
      </c>
      <c r="N351" s="495">
        <f t="shared" ca="1" si="160"/>
        <v>120600</v>
      </c>
      <c r="O351" s="495">
        <f t="shared" ca="1" si="156"/>
        <v>100</v>
      </c>
      <c r="P351" s="495">
        <f t="shared" ca="1" si="157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6"/>
        <v>0</v>
      </c>
      <c r="P352" s="90">
        <f t="shared" si="157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IFERROR(__xludf.DUMMYFUNCTION("IMPORTRANGE(""https://docs.google.com/spreadsheets/d/1MeEWN-I1oV_STSDYn1IFDPWt_1FKiwhDph83XaGc0o0/edit?usp=sharing"",""งบพรบ!EZ53"")"),120600)</f>
        <v>120600</v>
      </c>
      <c r="M353" s="90">
        <f ca="1">IFERROR(__xludf.DUMMYFUNCTION("IMPORTRANGE(""https://docs.google.com/spreadsheets/d/1MeEWN-I1oV_STSDYn1IFDPWt_1FKiwhDph83XaGc0o0/edit?usp=sharing"",""งบพรบ!FC53"")"),120600)</f>
        <v>120600</v>
      </c>
      <c r="N353" s="90">
        <f ca="1">IFERROR(__xludf.DUMMYFUNCTION("IMPORTRANGE(""https://docs.google.com/spreadsheets/d/1MeEWN-I1oV_STSDYn1IFDPWt_1FKiwhDph83XaGc0o0/edit?usp=sharing"",""งบพรบ!FE53"")"),120600)</f>
        <v>120600</v>
      </c>
      <c r="O353" s="90">
        <f t="shared" ca="1" si="156"/>
        <v>100</v>
      </c>
      <c r="P353" s="90">
        <f t="shared" ca="1" si="157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IFERROR(__xludf.DUMMYFUNCTION("IMPORTRANGE(""https://docs.google.com/spreadsheets/d/1QqKyyYR6Q21VydFLVH3TRQUabQu_ym0Zz7PgGX0-kHA/edit?usp=sharing"",""แผน!EP53"")"),160)</f>
        <v>160</v>
      </c>
      <c r="J355" s="462">
        <f ca="1">J362</f>
        <v>2</v>
      </c>
      <c r="K355" s="463">
        <f ca="1">IF(I355&gt;0,J355*100/I355,0)</f>
        <v>1.25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IFERROR(__xludf.DUMMYFUNCTION("IMPORTRANGE(""https://docs.google.com/spreadsheets/d/1XWAQStnk-4SwqDmLtmXYiTMKHgktTP8We1SCoS47DrQ/edit?usp=sharing"",""จัดที่ดิน!W53"")"),6)</f>
        <v>6</v>
      </c>
      <c r="K358" s="495">
        <f t="shared" ref="K358:K365" si="161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IFERROR(__xludf.DUMMYFUNCTION("IMPORTRANGE(""https://docs.google.com/spreadsheets/d/1QqKyyYR6Q21VydFLVH3TRQUabQu_ym0Zz7PgGX0-kHA/edit?usp=sharing"",""แผน!EO53"")"),1600)</f>
        <v>1600</v>
      </c>
      <c r="J359" s="264">
        <f ca="1">IFERROR(__xludf.DUMMYFUNCTION("IMPORTRANGE(""https://docs.google.com/spreadsheets/d/1XWAQStnk-4SwqDmLtmXYiTMKHgktTP8We1SCoS47DrQ/edit?usp=sharing"",""จัดที่ดิน!X53"")"),80.83)</f>
        <v>80.83</v>
      </c>
      <c r="K359" s="495">
        <f t="shared" ca="1" si="161"/>
        <v>5.0518749999999999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IFERROR(__xludf.DUMMYFUNCTION("IMPORTRANGE(""https://docs.google.com/spreadsheets/d/1QqKyyYR6Q21VydFLVH3TRQUabQu_ym0Zz7PgGX0-kHA/edit?usp=sharing"",""แผน!EP53"")"),160)</f>
        <v>160</v>
      </c>
      <c r="J360" s="264">
        <f ca="1">IFERROR(__xludf.DUMMYFUNCTION("IMPORTRANGE(""https://docs.google.com/spreadsheets/d/1XWAQStnk-4SwqDmLtmXYiTMKHgktTP8We1SCoS47DrQ/edit?usp=sharing"",""จัดที่ดิน!Y53"")"),6)</f>
        <v>6</v>
      </c>
      <c r="K360" s="495">
        <f t="shared" ca="1" si="161"/>
        <v>3.75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IFERROR(__xludf.DUMMYFUNCTION("IMPORTRANGE(""https://docs.google.com/spreadsheets/d/1XWAQStnk-4SwqDmLtmXYiTMKHgktTP8We1SCoS47DrQ/edit?usp=sharing"",""จัดที่ดิน!Z53"")"),80.83)</f>
        <v>80.83</v>
      </c>
      <c r="K361" s="495">
        <f t="shared" si="161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IFERROR(__xludf.DUMMYFUNCTION("IMPORTRANGE(""https://docs.google.com/spreadsheets/d/1QqKyyYR6Q21VydFLVH3TRQUabQu_ym0Zz7PgGX0-kHA/edit?usp=sharing"",""แผน!EP53"")"),160)</f>
        <v>160</v>
      </c>
      <c r="J362" s="264">
        <f ca="1">IFERROR(__xludf.DUMMYFUNCTION("IMPORTRANGE(""https://docs.google.com/spreadsheets/d/1XWAQStnk-4SwqDmLtmXYiTMKHgktTP8We1SCoS47DrQ/edit?usp=sharing"",""จัดที่ดิน!AA53"")"),2)</f>
        <v>2</v>
      </c>
      <c r="K362" s="495">
        <f t="shared" ca="1" si="161"/>
        <v>1.25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IFERROR(__xludf.DUMMYFUNCTION("IMPORTRANGE(""https://docs.google.com/spreadsheets/d/1XWAQStnk-4SwqDmLtmXYiTMKHgktTP8We1SCoS47DrQ/edit?usp=sharing"",""จัดที่ดิน!AB53"")"),6.12)</f>
        <v>6.12</v>
      </c>
      <c r="K363" s="495">
        <f t="shared" si="161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2">I365+I374</f>
        <v>200</v>
      </c>
      <c r="J364" s="476">
        <f t="shared" ca="1" si="162"/>
        <v>2</v>
      </c>
      <c r="K364" s="477">
        <f t="shared" ca="1" si="161"/>
        <v>1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IFERROR(__xludf.DUMMYFUNCTION("IMPORTRANGE(""https://docs.google.com/spreadsheets/d/1QqKyyYR6Q21VydFLVH3TRQUabQu_ym0Zz7PgGX0-kHA/edit?usp=sharing"",""แผน!EJ53"")"),80)</f>
        <v>80</v>
      </c>
      <c r="J365" s="488">
        <f ca="1">J372</f>
        <v>2</v>
      </c>
      <c r="K365" s="489">
        <f t="shared" ca="1" si="161"/>
        <v>2.5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IFERROR(__xludf.DUMMYFUNCTION("IMPORTRANGE(""https://docs.google.com/spreadsheets/d/1XWAQStnk-4SwqDmLtmXYiTMKHgktTP8We1SCoS47DrQ/edit?usp=sharing"",""จัดที่ดิน!E53"")"),6)</f>
        <v>6</v>
      </c>
      <c r="K368" s="495">
        <f t="shared" ref="K368:K374" si="163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IFERROR(__xludf.DUMMYFUNCTION("IMPORTRANGE(""https://docs.google.com/spreadsheets/d/1QqKyyYR6Q21VydFLVH3TRQUabQu_ym0Zz7PgGX0-kHA/edit?usp=sharing"",""แผน!EI53"")"),800)</f>
        <v>800</v>
      </c>
      <c r="J369" s="264">
        <f ca="1">IFERROR(__xludf.DUMMYFUNCTION("IMPORTRANGE(""https://docs.google.com/spreadsheets/d/1XWAQStnk-4SwqDmLtmXYiTMKHgktTP8We1SCoS47DrQ/edit?usp=sharing"",""จัดที่ดิน!F53"")"),80.83)</f>
        <v>80.83</v>
      </c>
      <c r="K369" s="495">
        <f t="shared" ca="1" si="163"/>
        <v>10.10375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IFERROR(__xludf.DUMMYFUNCTION("IMPORTRANGE(""https://docs.google.com/spreadsheets/d/1QqKyyYR6Q21VydFLVH3TRQUabQu_ym0Zz7PgGX0-kHA/edit?usp=sharing"",""แผน!EJ53"")"),80)</f>
        <v>80</v>
      </c>
      <c r="J370" s="264">
        <f ca="1">IFERROR(__xludf.DUMMYFUNCTION("IMPORTRANGE(""https://docs.google.com/spreadsheets/d/1XWAQStnk-4SwqDmLtmXYiTMKHgktTP8We1SCoS47DrQ/edit?usp=sharing"",""จัดที่ดิน!G53"")"),6)</f>
        <v>6</v>
      </c>
      <c r="K370" s="495">
        <f t="shared" ca="1" si="163"/>
        <v>7.5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IFERROR(__xludf.DUMMYFUNCTION("IMPORTRANGE(""https://docs.google.com/spreadsheets/d/1XWAQStnk-4SwqDmLtmXYiTMKHgktTP8We1SCoS47DrQ/edit?usp=sharing"",""จัดที่ดิน!H53"")"),80.83)</f>
        <v>80.83</v>
      </c>
      <c r="K371" s="495">
        <f t="shared" si="163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IFERROR(__xludf.DUMMYFUNCTION("IMPORTRANGE(""https://docs.google.com/spreadsheets/d/1QqKyyYR6Q21VydFLVH3TRQUabQu_ym0Zz7PgGX0-kHA/edit?usp=sharing"",""แผน!EJ53"")"),80)</f>
        <v>80</v>
      </c>
      <c r="J372" s="264">
        <f ca="1">IFERROR(__xludf.DUMMYFUNCTION("IMPORTRANGE(""https://docs.google.com/spreadsheets/d/1XWAQStnk-4SwqDmLtmXYiTMKHgktTP8We1SCoS47DrQ/edit?usp=sharing"",""จัดที่ดิน!I53"")"),2)</f>
        <v>2</v>
      </c>
      <c r="K372" s="495">
        <f t="shared" ca="1" si="163"/>
        <v>2.5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IFERROR(__xludf.DUMMYFUNCTION("IMPORTRANGE(""https://docs.google.com/spreadsheets/d/1XWAQStnk-4SwqDmLtmXYiTMKHgktTP8We1SCoS47DrQ/edit?usp=sharing"",""จัดที่ดิน!J53"")"),6.12)</f>
        <v>6.12</v>
      </c>
      <c r="K373" s="495">
        <f t="shared" si="163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IFERROR(__xludf.DUMMYFUNCTION("IMPORTRANGE(""https://docs.google.com/spreadsheets/d/1QqKyyYR6Q21VydFLVH3TRQUabQu_ym0Zz7PgGX0-kHA/edit?usp=sharing"",""แผน!EU53"")"),120)</f>
        <v>120</v>
      </c>
      <c r="J374" s="488">
        <f ca="1">J381</f>
        <v>0</v>
      </c>
      <c r="K374" s="489">
        <f t="shared" ca="1" si="163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IFERROR(__xludf.DUMMYFUNCTION("IMPORTRANGE(""https://docs.google.com/spreadsheets/d/1XWAQStnk-4SwqDmLtmXYiTMKHgktTP8We1SCoS47DrQ/edit?usp=sharing"",""จัดที่ดิน!AH53"")"),0)</f>
        <v>0</v>
      </c>
      <c r="K377" s="495">
        <f t="shared" ref="K377:K382" si="164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IFERROR(__xludf.DUMMYFUNCTION("IMPORTRANGE(""https://docs.google.com/spreadsheets/d/1QqKyyYR6Q21VydFLVH3TRQUabQu_ym0Zz7PgGX0-kHA/edit?usp=sharing"",""แผน!ET53"")"),800)</f>
        <v>800</v>
      </c>
      <c r="J378" s="264">
        <f ca="1">IFERROR(__xludf.DUMMYFUNCTION("IMPORTRANGE(""https://docs.google.com/spreadsheets/d/1XWAQStnk-4SwqDmLtmXYiTMKHgktTP8We1SCoS47DrQ/edit?usp=sharing"",""จัดที่ดิน!AI53"")"),0)</f>
        <v>0</v>
      </c>
      <c r="K378" s="495">
        <f t="shared" ca="1" si="164"/>
        <v>0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IFERROR(__xludf.DUMMYFUNCTION("IMPORTRANGE(""https://docs.google.com/spreadsheets/d/1QqKyyYR6Q21VydFLVH3TRQUabQu_ym0Zz7PgGX0-kHA/edit?usp=sharing"",""แผน!EU53"")"),120)</f>
        <v>120</v>
      </c>
      <c r="J379" s="264">
        <f ca="1">IFERROR(__xludf.DUMMYFUNCTION("IMPORTRANGE(""https://docs.google.com/spreadsheets/d/1XWAQStnk-4SwqDmLtmXYiTMKHgktTP8We1SCoS47DrQ/edit?usp=sharing"",""จัดที่ดิน!AJ53"")"),0)</f>
        <v>0</v>
      </c>
      <c r="K379" s="495">
        <f t="shared" ca="1" si="164"/>
        <v>0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IFERROR(__xludf.DUMMYFUNCTION("IMPORTRANGE(""https://docs.google.com/spreadsheets/d/1XWAQStnk-4SwqDmLtmXYiTMKHgktTP8We1SCoS47DrQ/edit?usp=sharing"",""จัดที่ดิน!AK53"")"),0)</f>
        <v>0</v>
      </c>
      <c r="K380" s="495">
        <f t="shared" si="164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IFERROR(__xludf.DUMMYFUNCTION("IMPORTRANGE(""https://docs.google.com/spreadsheets/d/1QqKyyYR6Q21VydFLVH3TRQUabQu_ym0Zz7PgGX0-kHA/edit?usp=sharing"",""แผน!EU53"")"),120)</f>
        <v>120</v>
      </c>
      <c r="J381" s="264">
        <f ca="1">IFERROR(__xludf.DUMMYFUNCTION("IMPORTRANGE(""https://docs.google.com/spreadsheets/d/1XWAQStnk-4SwqDmLtmXYiTMKHgktTP8We1SCoS47DrQ/edit?usp=sharing"",""จัดที่ดิน!AL53"")"),0)</f>
        <v>0</v>
      </c>
      <c r="K381" s="495">
        <f t="shared" ca="1" si="164"/>
        <v>0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IFERROR(__xludf.DUMMYFUNCTION("IMPORTRANGE(""https://docs.google.com/spreadsheets/d/1XWAQStnk-4SwqDmLtmXYiTMKHgktTP8We1SCoS47DrQ/edit?usp=sharing"",""จัดที่ดิน!AM53"")"),0)</f>
        <v>0</v>
      </c>
      <c r="K382" s="495">
        <f t="shared" si="164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IFERROR(__xludf.DUMMYFUNCTION("IMPORTRANGE(""https://docs.google.com/spreadsheets/d/1QqKyyYR6Q21VydFLVH3TRQUabQu_ym0Zz7PgGX0-kHA/edit?usp=sharing"",""แผน!EW53"")"),10)</f>
        <v>10</v>
      </c>
      <c r="J385" s="498">
        <f ca="1">IFERROR(__xludf.DUMMYFUNCTION("IMPORTRANGE(""https://docs.google.com/spreadsheets/d/1XWAQStnk-4SwqDmLtmXYiTMKHgktTP8We1SCoS47DrQ/edit?usp=sharing"",""จัดที่ดิน!AP53"")"),0)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5">I400</f>
        <v>0</v>
      </c>
      <c r="J388" s="519">
        <f t="shared" si="165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6">L390+L391</f>
        <v>0</v>
      </c>
      <c r="M389" s="151">
        <f t="shared" ca="1" si="166"/>
        <v>0</v>
      </c>
      <c r="N389" s="151">
        <f t="shared" ca="1" si="166"/>
        <v>0</v>
      </c>
      <c r="O389" s="151">
        <f t="shared" ref="O389:O397" ca="1" si="167">IF(L389&gt;0,N389*100/L389,0)</f>
        <v>0</v>
      </c>
      <c r="P389" s="151">
        <f t="shared" ref="P389:P397" ca="1" si="168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9">L393+L396</f>
        <v>0</v>
      </c>
      <c r="M390" s="90">
        <f t="shared" si="169"/>
        <v>0</v>
      </c>
      <c r="N390" s="90">
        <f t="shared" si="169"/>
        <v>0</v>
      </c>
      <c r="O390" s="90">
        <f t="shared" si="167"/>
        <v>0</v>
      </c>
      <c r="P390" s="90">
        <f t="shared" si="168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9"/>
        <v>0</v>
      </c>
      <c r="M391" s="90">
        <f t="shared" ca="1" si="169"/>
        <v>0</v>
      </c>
      <c r="N391" s="90">
        <f t="shared" ca="1" si="169"/>
        <v>0</v>
      </c>
      <c r="O391" s="90">
        <f t="shared" ca="1" si="167"/>
        <v>0</v>
      </c>
      <c r="P391" s="90">
        <f t="shared" ca="1" si="168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70">L393+L394</f>
        <v>0</v>
      </c>
      <c r="M392" s="495">
        <f t="shared" ca="1" si="170"/>
        <v>0</v>
      </c>
      <c r="N392" s="495">
        <f t="shared" ca="1" si="170"/>
        <v>0</v>
      </c>
      <c r="O392" s="495">
        <f t="shared" ca="1" si="167"/>
        <v>0</v>
      </c>
      <c r="P392" s="495">
        <f t="shared" ca="1" si="168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7"/>
        <v>0</v>
      </c>
      <c r="P393" s="90">
        <f t="shared" si="168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IFERROR(__xludf.DUMMYFUNCTION("IMPORTRANGE(""https://docs.google.com/spreadsheets/d/1MeEWN-I1oV_STSDYn1IFDPWt_1FKiwhDph83XaGc0o0/edit?usp=sharing"",""งบพรบ!FG53"")"),0)</f>
        <v>0</v>
      </c>
      <c r="M394" s="90">
        <f ca="1">IFERROR(__xludf.DUMMYFUNCTION("IMPORTRANGE(""https://docs.google.com/spreadsheets/d/1MeEWN-I1oV_STSDYn1IFDPWt_1FKiwhDph83XaGc0o0/edit?usp=sharing"",""งบพรบ!FL53"")"),0)</f>
        <v>0</v>
      </c>
      <c r="N394" s="90">
        <f ca="1">IFERROR(__xludf.DUMMYFUNCTION("IMPORTRANGE(""https://docs.google.com/spreadsheets/d/1MeEWN-I1oV_STSDYn1IFDPWt_1FKiwhDph83XaGc0o0/edit?usp=sharing"",""งบพรบ!FN53"")"),0)</f>
        <v>0</v>
      </c>
      <c r="O394" s="90">
        <f t="shared" ca="1" si="167"/>
        <v>0</v>
      </c>
      <c r="P394" s="90">
        <f t="shared" ca="1" si="168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1">L396+L397</f>
        <v>0</v>
      </c>
      <c r="M395" s="495">
        <f t="shared" ca="1" si="171"/>
        <v>0</v>
      </c>
      <c r="N395" s="495">
        <f t="shared" ca="1" si="171"/>
        <v>0</v>
      </c>
      <c r="O395" s="495">
        <f t="shared" ca="1" si="167"/>
        <v>0</v>
      </c>
      <c r="P395" s="495">
        <f t="shared" ca="1" si="168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7"/>
        <v>0</v>
      </c>
      <c r="P396" s="90">
        <f t="shared" si="168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IFERROR(__xludf.DUMMYFUNCTION("IMPORTRANGE(""https://docs.google.com/spreadsheets/d/1MeEWN-I1oV_STSDYn1IFDPWt_1FKiwhDph83XaGc0o0/edit?usp=sharing"",""งบพรบ!FJ53"")"),0)</f>
        <v>0</v>
      </c>
      <c r="M397" s="90">
        <f ca="1">IFERROR(__xludf.DUMMYFUNCTION("IMPORTRANGE(""https://docs.google.com/spreadsheets/d/1MeEWN-I1oV_STSDYn1IFDPWt_1FKiwhDph83XaGc0o0/edit?usp=sharing"",""งบพรบ!FM53"")"),0)</f>
        <v>0</v>
      </c>
      <c r="N397" s="90">
        <f ca="1">IFERROR(__xludf.DUMMYFUNCTION("IMPORTRANGE(""https://docs.google.com/spreadsheets/d/1MeEWN-I1oV_STSDYn1IFDPWt_1FKiwhDph83XaGc0o0/edit?usp=sharing"",""งบพรบ!FO53"")"),0)</f>
        <v>0</v>
      </c>
      <c r="O397" s="90">
        <f t="shared" ca="1" si="167"/>
        <v>0</v>
      </c>
      <c r="P397" s="90">
        <f t="shared" ca="1" si="168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2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2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3">I412</f>
        <v>0</v>
      </c>
      <c r="J401" s="519">
        <f t="shared" si="173"/>
        <v>0</v>
      </c>
      <c r="K401" s="520">
        <f t="shared" si="172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4">L403+L404</f>
        <v>0</v>
      </c>
      <c r="M402" s="151">
        <f t="shared" ca="1" si="174"/>
        <v>0</v>
      </c>
      <c r="N402" s="151">
        <f t="shared" ca="1" si="174"/>
        <v>0</v>
      </c>
      <c r="O402" s="151">
        <f t="shared" ref="O402:O410" ca="1" si="175">IF(L402&gt;0,N402*100/L402,0)</f>
        <v>0</v>
      </c>
      <c r="P402" s="151">
        <f t="shared" ref="P402:P410" ca="1" si="176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7">L406+L409</f>
        <v>0</v>
      </c>
      <c r="M403" s="90">
        <f t="shared" si="177"/>
        <v>0</v>
      </c>
      <c r="N403" s="90">
        <f t="shared" si="177"/>
        <v>0</v>
      </c>
      <c r="O403" s="90">
        <f t="shared" si="175"/>
        <v>0</v>
      </c>
      <c r="P403" s="90">
        <f t="shared" si="176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7"/>
        <v>0</v>
      </c>
      <c r="M404" s="90">
        <f t="shared" ca="1" si="177"/>
        <v>0</v>
      </c>
      <c r="N404" s="90">
        <f t="shared" ca="1" si="177"/>
        <v>0</v>
      </c>
      <c r="O404" s="90">
        <f t="shared" ca="1" si="175"/>
        <v>0</v>
      </c>
      <c r="P404" s="90">
        <f t="shared" ca="1" si="176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8">L406+L407</f>
        <v>0</v>
      </c>
      <c r="M405" s="495">
        <f t="shared" ca="1" si="178"/>
        <v>0</v>
      </c>
      <c r="N405" s="495">
        <f t="shared" ca="1" si="178"/>
        <v>0</v>
      </c>
      <c r="O405" s="495">
        <f t="shared" ca="1" si="175"/>
        <v>0</v>
      </c>
      <c r="P405" s="495">
        <f t="shared" ca="1" si="176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5"/>
        <v>0</v>
      </c>
      <c r="P406" s="90">
        <f t="shared" si="176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IFERROR(__xludf.DUMMYFUNCTION("IMPORTRANGE(""https://docs.google.com/spreadsheets/d/1MeEWN-I1oV_STSDYn1IFDPWt_1FKiwhDph83XaGc0o0/edit?usp=sharing"",""งบพรบ!FQ53"")"),0)</f>
        <v>0</v>
      </c>
      <c r="M407" s="90">
        <f ca="1">IFERROR(__xludf.DUMMYFUNCTION("IMPORTRANGE(""https://docs.google.com/spreadsheets/d/1MeEWN-I1oV_STSDYn1IFDPWt_1FKiwhDph83XaGc0o0/edit?usp=sharing"",""งบพรบ!FV53"")"),0)</f>
        <v>0</v>
      </c>
      <c r="N407" s="90">
        <f ca="1">IFERROR(__xludf.DUMMYFUNCTION("IMPORTRANGE(""https://docs.google.com/spreadsheets/d/1MeEWN-I1oV_STSDYn1IFDPWt_1FKiwhDph83XaGc0o0/edit?usp=sharing"",""งบพรบ!FX53"")"),0)</f>
        <v>0</v>
      </c>
      <c r="O407" s="90">
        <f t="shared" ca="1" si="175"/>
        <v>0</v>
      </c>
      <c r="P407" s="90">
        <f t="shared" ca="1" si="176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9">L409+L410</f>
        <v>0</v>
      </c>
      <c r="M408" s="495">
        <f t="shared" ca="1" si="179"/>
        <v>0</v>
      </c>
      <c r="N408" s="495">
        <f t="shared" ca="1" si="179"/>
        <v>0</v>
      </c>
      <c r="O408" s="495">
        <f t="shared" ca="1" si="175"/>
        <v>0</v>
      </c>
      <c r="P408" s="495">
        <f t="shared" ca="1" si="176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5"/>
        <v>0</v>
      </c>
      <c r="P409" s="90">
        <f t="shared" si="176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IFERROR(__xludf.DUMMYFUNCTION("IMPORTRANGE(""https://docs.google.com/spreadsheets/d/1MeEWN-I1oV_STSDYn1IFDPWt_1FKiwhDph83XaGc0o0/edit?usp=sharing"",""งบพรบ!FT53"")"),0)</f>
        <v>0</v>
      </c>
      <c r="M410" s="90">
        <f ca="1">IFERROR(__xludf.DUMMYFUNCTION("IMPORTRANGE(""https://docs.google.com/spreadsheets/d/1MeEWN-I1oV_STSDYn1IFDPWt_1FKiwhDph83XaGc0o0/edit?usp=sharing"",""งบพรบ!FW53"")"),0)</f>
        <v>0</v>
      </c>
      <c r="N410" s="90">
        <f ca="1">IFERROR(__xludf.DUMMYFUNCTION("IMPORTRANGE(""https://docs.google.com/spreadsheets/d/1MeEWN-I1oV_STSDYn1IFDPWt_1FKiwhDph83XaGc0o0/edit?usp=sharing"",""งบพรบ!FY53"")"),0)</f>
        <v>0</v>
      </c>
      <c r="O410" s="90">
        <f t="shared" ca="1" si="175"/>
        <v>0</v>
      </c>
      <c r="P410" s="90">
        <f t="shared" ca="1" si="176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80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80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1">L419+L444+L467+L502+L523+L544+L629+L655+L685+L737+L754+L770+L786+L805</f>
        <v>2900391</v>
      </c>
      <c r="M414" s="546">
        <f t="shared" si="181"/>
        <v>0</v>
      </c>
      <c r="N414" s="546">
        <f t="shared" si="181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2">I433</f>
        <v>20</v>
      </c>
      <c r="J417" s="562">
        <f t="shared" ca="1" si="182"/>
        <v>0</v>
      </c>
      <c r="K417" s="563">
        <f t="shared" ref="K417:K418" ca="1" si="183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2"/>
        <v>1</v>
      </c>
      <c r="J418" s="562">
        <f t="shared" si="182"/>
        <v>0</v>
      </c>
      <c r="K418" s="563">
        <f t="shared" ca="1" si="183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4">L420+L421</f>
        <v>78660</v>
      </c>
      <c r="M419" s="151">
        <f t="shared" si="184"/>
        <v>0</v>
      </c>
      <c r="N419" s="151">
        <f t="shared" si="184"/>
        <v>0</v>
      </c>
      <c r="O419" s="151">
        <f t="shared" ref="O419:O424" ca="1" si="185">IF(L419&gt;0,N419*100/L419,0)</f>
        <v>0</v>
      </c>
      <c r="P419" s="151">
        <f t="shared" ref="P419:P424" si="186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7">L423+L430</f>
        <v>0</v>
      </c>
      <c r="M420" s="90">
        <f t="shared" si="187"/>
        <v>0</v>
      </c>
      <c r="N420" s="90">
        <f t="shared" si="187"/>
        <v>0</v>
      </c>
      <c r="O420" s="90">
        <f t="shared" si="185"/>
        <v>0</v>
      </c>
      <c r="P420" s="90">
        <f t="shared" si="186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7"/>
        <v>78660</v>
      </c>
      <c r="M421" s="90">
        <f t="shared" si="187"/>
        <v>0</v>
      </c>
      <c r="N421" s="90">
        <f t="shared" si="187"/>
        <v>0</v>
      </c>
      <c r="O421" s="90">
        <f t="shared" ca="1" si="185"/>
        <v>0</v>
      </c>
      <c r="P421" s="90">
        <f t="shared" si="186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8">L423+L424</f>
        <v>78660</v>
      </c>
      <c r="M422" s="495">
        <f t="shared" si="188"/>
        <v>0</v>
      </c>
      <c r="N422" s="495">
        <f t="shared" si="188"/>
        <v>0</v>
      </c>
      <c r="O422" s="495">
        <f t="shared" ca="1" si="185"/>
        <v>0</v>
      </c>
      <c r="P422" s="495">
        <f t="shared" si="186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5"/>
        <v>0</v>
      </c>
      <c r="P423" s="90">
        <f t="shared" si="186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IFERROR(__xludf.DUMMYFUNCTION("IMPORTRANGE(""https://docs.google.com/spreadsheets/d/1QqKyyYR6Q21VydFLVH3TRQUabQu_ym0Zz7PgGX0-kHA/edit?usp=sharing"",""แผน!EY53"")"),78660)</f>
        <v>78660</v>
      </c>
      <c r="M424" s="90">
        <v>0</v>
      </c>
      <c r="N424" s="90">
        <f>N425+N426+N427+N428</f>
        <v>0</v>
      </c>
      <c r="O424" s="90">
        <f t="shared" ca="1" si="185"/>
        <v>0</v>
      </c>
      <c r="P424" s="90">
        <f t="shared" si="186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9">L430+L431</f>
        <v>0</v>
      </c>
      <c r="M429" s="495">
        <f t="shared" si="189"/>
        <v>0</v>
      </c>
      <c r="N429" s="495">
        <f t="shared" si="189"/>
        <v>0</v>
      </c>
      <c r="O429" s="495">
        <f t="shared" ref="O429:O431" ca="1" si="190">IF(L429&gt;0,N429*100/L429,0)</f>
        <v>0</v>
      </c>
      <c r="P429" s="495">
        <f t="shared" ref="P429:P431" si="191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90"/>
        <v>0</v>
      </c>
      <c r="P430" s="90">
        <f t="shared" si="191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IFERROR(__xludf.DUMMYFUNCTION("IMPORTRANGE(""https://docs.google.com/spreadsheets/d/1QqKyyYR6Q21VydFLVH3TRQUabQu_ym0Zz7PgGX0-kHA/edit?usp=sharing"",""แผน!FB53"")"),0)</f>
        <v>0</v>
      </c>
      <c r="M431" s="90">
        <v>0</v>
      </c>
      <c r="N431" s="90">
        <v>0</v>
      </c>
      <c r="O431" s="90">
        <f t="shared" ca="1" si="190"/>
        <v>0</v>
      </c>
      <c r="P431" s="90">
        <f t="shared" si="191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20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2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3">I438+I440</f>
        <v>1</v>
      </c>
      <c r="J434" s="673">
        <f t="shared" si="193"/>
        <v>0</v>
      </c>
      <c r="K434" s="191">
        <f t="shared" ca="1" si="192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IFERROR(__xludf.DUMMYFUNCTION("IMPORTRANGE(""https://docs.google.com/spreadsheets/d/1QqKyyYR6Q21VydFLVH3TRQUabQu_ym0Zz7PgGX0-kHA/edit?usp=sharing"",""แผน!FC53"")"),20)</f>
        <v>20</v>
      </c>
      <c r="J435" s="576">
        <v>0</v>
      </c>
      <c r="K435" s="495">
        <f t="shared" ca="1" si="192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IFERROR(__xludf.DUMMYFUNCTION("IMPORTRANGE(""https://docs.google.com/spreadsheets/d/1QqKyyYR6Q21VydFLVH3TRQUabQu_ym0Zz7PgGX0-kHA/edit?usp=sharing"",""แผน!FD53"")"),0)</f>
        <v>0</v>
      </c>
      <c r="J437" s="576">
        <v>0</v>
      </c>
      <c r="K437" s="495">
        <f t="shared" ref="K437:K443" ca="1" si="194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IFERROR(__xludf.DUMMYFUNCTION("IMPORTRANGE(""https://docs.google.com/spreadsheets/d/1QqKyyYR6Q21VydFLVH3TRQUabQu_ym0Zz7PgGX0-kHA/edit?usp=sharing"",""แผน!FE53"")"),0)</f>
        <v>0</v>
      </c>
      <c r="J438" s="210">
        <v>0</v>
      </c>
      <c r="K438" s="495">
        <f t="shared" ca="1" si="194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IFERROR(__xludf.DUMMYFUNCTION("IMPORTRANGE(""https://docs.google.com/spreadsheets/d/1QqKyyYR6Q21VydFLVH3TRQUabQu_ym0Zz7PgGX0-kHA/edit?usp=sharing"",""แผน!FF53"")"),20)</f>
        <v>20</v>
      </c>
      <c r="J439" s="576">
        <v>0</v>
      </c>
      <c r="K439" s="495">
        <f t="shared" ca="1" si="194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IFERROR(__xludf.DUMMYFUNCTION("IMPORTRANGE(""https://docs.google.com/spreadsheets/d/1QqKyyYR6Q21VydFLVH3TRQUabQu_ym0Zz7PgGX0-kHA/edit?usp=sharing"",""แผน!FG53"")"),1)</f>
        <v>1</v>
      </c>
      <c r="J440" s="210">
        <v>0</v>
      </c>
      <c r="K440" s="495">
        <f t="shared" ca="1" si="194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IFERROR(__xludf.DUMMYFUNCTION("IMPORTRANGE(""https://docs.google.com/spreadsheets/d/1QqKyyYR6Q21VydFLVH3TRQUabQu_ym0Zz7PgGX0-kHA/edit?usp=sharing"",""แผน!FH53"")"),0)</f>
        <v>0</v>
      </c>
      <c r="J441" s="264">
        <v>0</v>
      </c>
      <c r="K441" s="495">
        <f t="shared" ca="1" si="194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5">I460</f>
        <v>75</v>
      </c>
      <c r="J442" s="582">
        <f t="shared" si="195"/>
        <v>0</v>
      </c>
      <c r="K442" s="583">
        <f t="shared" ca="1" si="194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6">I462</f>
        <v>200</v>
      </c>
      <c r="J443" s="562">
        <f t="shared" si="196"/>
        <v>0</v>
      </c>
      <c r="K443" s="563">
        <f t="shared" ca="1" si="194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7">L445+L446</f>
        <v>486400</v>
      </c>
      <c r="M444" s="191">
        <f t="shared" si="197"/>
        <v>0</v>
      </c>
      <c r="N444" s="191">
        <f t="shared" si="197"/>
        <v>0</v>
      </c>
      <c r="O444" s="191">
        <f t="shared" ref="O444:O449" ca="1" si="198">IF(L444&gt;0,N444*100/L444,0)</f>
        <v>0</v>
      </c>
      <c r="P444" s="191">
        <f t="shared" ref="P444:P449" si="199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200">L448+L455</f>
        <v>0</v>
      </c>
      <c r="M445" s="90">
        <f t="shared" si="200"/>
        <v>0</v>
      </c>
      <c r="N445" s="90">
        <f t="shared" si="200"/>
        <v>0</v>
      </c>
      <c r="O445" s="90">
        <f t="shared" si="198"/>
        <v>0</v>
      </c>
      <c r="P445" s="90">
        <f t="shared" si="199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200"/>
        <v>486400</v>
      </c>
      <c r="M446" s="90">
        <f t="shared" si="200"/>
        <v>0</v>
      </c>
      <c r="N446" s="90">
        <f t="shared" si="200"/>
        <v>0</v>
      </c>
      <c r="O446" s="90">
        <f t="shared" ca="1" si="198"/>
        <v>0</v>
      </c>
      <c r="P446" s="90">
        <f t="shared" si="199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1">L448+L449</f>
        <v>486400</v>
      </c>
      <c r="M447" s="495">
        <f t="shared" si="201"/>
        <v>0</v>
      </c>
      <c r="N447" s="495">
        <f t="shared" si="201"/>
        <v>0</v>
      </c>
      <c r="O447" s="495">
        <f t="shared" ca="1" si="198"/>
        <v>0</v>
      </c>
      <c r="P447" s="495">
        <f t="shared" si="199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8"/>
        <v>0</v>
      </c>
      <c r="P448" s="90">
        <f t="shared" si="199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IFERROR(__xludf.DUMMYFUNCTION("IMPORTRANGE(""https://docs.google.com/spreadsheets/d/1QqKyyYR6Q21VydFLVH3TRQUabQu_ym0Zz7PgGX0-kHA/edit?usp=sharing"",""แผน!FJ53"")"),486400)</f>
        <v>486400</v>
      </c>
      <c r="M449" s="90">
        <v>0</v>
      </c>
      <c r="N449" s="90">
        <f>N450+N451+N452+N453</f>
        <v>0</v>
      </c>
      <c r="O449" s="90">
        <f t="shared" ca="1" si="198"/>
        <v>0</v>
      </c>
      <c r="P449" s="90">
        <f t="shared" si="199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2">L455+L456</f>
        <v>0</v>
      </c>
      <c r="M454" s="495">
        <f t="shared" si="202"/>
        <v>0</v>
      </c>
      <c r="N454" s="495">
        <f t="shared" si="202"/>
        <v>0</v>
      </c>
      <c r="O454" s="495">
        <f t="shared" ref="O454:O456" ca="1" si="203">IF(L454&gt;0,N454*100/L454,0)</f>
        <v>0</v>
      </c>
      <c r="P454" s="495">
        <f t="shared" ref="P454:P456" si="204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3"/>
        <v>0</v>
      </c>
      <c r="P455" s="90">
        <f t="shared" si="204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IFERROR(__xludf.DUMMYFUNCTION("IMPORTRANGE(""https://docs.google.com/spreadsheets/d/1QqKyyYR6Q21VydFLVH3TRQUabQu_ym0Zz7PgGX0-kHA/edit?usp=sharing"",""แผน!FM53"")"),0)</f>
        <v>0</v>
      </c>
      <c r="M456" s="90">
        <v>0</v>
      </c>
      <c r="N456" s="90">
        <v>0</v>
      </c>
      <c r="O456" s="90">
        <f t="shared" ca="1" si="203"/>
        <v>0</v>
      </c>
      <c r="P456" s="90">
        <f t="shared" si="204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IFERROR(__xludf.DUMMYFUNCTION("IMPORTRANGE(""https://docs.google.com/spreadsheets/d/1QqKyyYR6Q21VydFLVH3TRQUabQu_ym0Zz7PgGX0-kHA/edit?usp=sharing"",""แผน!FN53"")"),75)</f>
        <v>75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IFERROR(__xludf.DUMMYFUNCTION("IMPORTRANGE(""https://docs.google.com/spreadsheets/d/1QqKyyYR6Q21VydFLVH3TRQUabQu_ym0Zz7PgGX0-kHA/edit?usp=sharing"",""แผน!FO53"")"),200)</f>
        <v>200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IFERROR(__xludf.DUMMYFUNCTION("IMPORTRANGE(""https://docs.google.com/spreadsheets/d/1QqKyyYR6Q21VydFLVH3TRQUabQu_ym0Zz7PgGX0-kHA/edit?usp=sharing"",""แผน!FO53"")"),200)</f>
        <v>200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IFERROR(__xludf.DUMMYFUNCTION("IMPORTRANGE(""https://docs.google.com/spreadsheets/d/1QqKyyYR6Q21VydFLVH3TRQUabQu_ym0Zz7PgGX0-kHA/edit?usp=sharing"",""แผน!FN53"")"),75)</f>
        <v>75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IFERROR(__xludf.DUMMYFUNCTION("IMPORTRANGE(""https://docs.google.com/spreadsheets/d/1QqKyyYR6Q21VydFLVH3TRQUabQu_ym0Zz7PgGX0-kHA/edit?usp=sharing"",""แผน!FX53"")"),131)</f>
        <v>131</v>
      </c>
      <c r="J465" s="582">
        <f>J485+J489+J492</f>
        <v>0</v>
      </c>
      <c r="K465" s="583">
        <f t="shared" ref="K465:K466" ca="1" si="205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IFERROR(__xludf.DUMMYFUNCTION("IMPORTRANGE(""https://docs.google.com/spreadsheets/d/1QqKyyYR6Q21VydFLVH3TRQUabQu_ym0Zz7PgGX0-kHA/edit?usp=sharing"",""แผน!FW53"")"),1300)</f>
        <v>1300</v>
      </c>
      <c r="J466" s="562">
        <f>J483+J487</f>
        <v>0</v>
      </c>
      <c r="K466" s="563">
        <f t="shared" ca="1" si="205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6">L468+L469</f>
        <v>1161548</v>
      </c>
      <c r="M467" s="191">
        <f t="shared" si="206"/>
        <v>0</v>
      </c>
      <c r="N467" s="191">
        <f t="shared" si="206"/>
        <v>0</v>
      </c>
      <c r="O467" s="191">
        <f t="shared" ref="O467:O472" ca="1" si="207">IF(L467&gt;0,N467*100/L467,0)</f>
        <v>0</v>
      </c>
      <c r="P467" s="191">
        <f t="shared" ref="P467:P472" si="208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9">L471+L478</f>
        <v>0</v>
      </c>
      <c r="M468" s="90">
        <f t="shared" si="209"/>
        <v>0</v>
      </c>
      <c r="N468" s="90">
        <f t="shared" si="209"/>
        <v>0</v>
      </c>
      <c r="O468" s="90">
        <f t="shared" si="207"/>
        <v>0</v>
      </c>
      <c r="P468" s="90">
        <f t="shared" si="208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9"/>
        <v>1161548</v>
      </c>
      <c r="M469" s="90">
        <f t="shared" si="209"/>
        <v>0</v>
      </c>
      <c r="N469" s="90">
        <f t="shared" si="209"/>
        <v>0</v>
      </c>
      <c r="O469" s="90">
        <f t="shared" ca="1" si="207"/>
        <v>0</v>
      </c>
      <c r="P469" s="90">
        <f t="shared" si="208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10">L471+L472</f>
        <v>1161548</v>
      </c>
      <c r="M470" s="495">
        <f t="shared" si="210"/>
        <v>0</v>
      </c>
      <c r="N470" s="495">
        <f t="shared" si="210"/>
        <v>0</v>
      </c>
      <c r="O470" s="495">
        <f t="shared" ca="1" si="207"/>
        <v>0</v>
      </c>
      <c r="P470" s="495">
        <f t="shared" si="208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7"/>
        <v>0</v>
      </c>
      <c r="P471" s="90">
        <f t="shared" si="208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IFERROR(__xludf.DUMMYFUNCTION("IMPORTRANGE(""https://docs.google.com/spreadsheets/d/1QqKyyYR6Q21VydFLVH3TRQUabQu_ym0Zz7PgGX0-kHA/edit?usp=sharing"",""แผน!FS53"")"),1161548)</f>
        <v>1161548</v>
      </c>
      <c r="M472" s="90">
        <v>0</v>
      </c>
      <c r="N472" s="90">
        <f>N473+N474+N475+N476</f>
        <v>0</v>
      </c>
      <c r="O472" s="90">
        <f t="shared" ca="1" si="207"/>
        <v>0</v>
      </c>
      <c r="P472" s="90">
        <f t="shared" si="208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1">L478+L479</f>
        <v>0</v>
      </c>
      <c r="M477" s="495">
        <f t="shared" si="211"/>
        <v>0</v>
      </c>
      <c r="N477" s="495">
        <f t="shared" si="211"/>
        <v>0</v>
      </c>
      <c r="O477" s="495">
        <f t="shared" ref="O477:O479" ca="1" si="212">IF(L477&gt;0,N477*100/L477,0)</f>
        <v>0</v>
      </c>
      <c r="P477" s="495">
        <f t="shared" ref="P477:P479" si="213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2"/>
        <v>0</v>
      </c>
      <c r="P478" s="90">
        <f t="shared" si="213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IFERROR(__xludf.DUMMYFUNCTION("IMPORTRANGE(""https://docs.google.com/spreadsheets/d/1QqKyyYR6Q21VydFLVH3TRQUabQu_ym0Zz7PgGX0-kHA/edit?usp=sharing"",""แผน!FV53"")"),0)</f>
        <v>0</v>
      </c>
      <c r="M479" s="90">
        <v>0</v>
      </c>
      <c r="N479" s="90">
        <v>0</v>
      </c>
      <c r="O479" s="90">
        <f t="shared" ca="1" si="212"/>
        <v>0</v>
      </c>
      <c r="P479" s="90">
        <f t="shared" si="213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IFERROR(__xludf.DUMMYFUNCTION("IMPORTRANGE(""https://docs.google.com/spreadsheets/d/1QqKyyYR6Q21VydFLVH3TRQUabQu_ym0Zz7PgGX0-kHA/edit?usp=sharing"",""แผน!FY53"")"),1170)</f>
        <v>1170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IFERROR(__xludf.DUMMYFUNCTION("IMPORTRANGE(""https://docs.google.com/spreadsheets/d/1QqKyyYR6Q21VydFLVH3TRQUabQu_ym0Zz7PgGX0-kHA/edit?usp=sharing"",""แผน!FZ53"")"),117)</f>
        <v>117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IFERROR(__xludf.DUMMYFUNCTION("IMPORTRANGE(""https://docs.google.com/spreadsheets/d/1QqKyyYR6Q21VydFLVH3TRQUabQu_ym0Zz7PgGX0-kHA/edit?usp=sharing"",""แผน!GA53"")"),130)</f>
        <v>130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IFERROR(__xludf.DUMMYFUNCTION("IMPORTRANGE(""https://docs.google.com/spreadsheets/d/1QqKyyYR6Q21VydFLVH3TRQUabQu_ym0Zz7PgGX0-kHA/edit?usp=sharing"",""แผน!GB53"")"),13)</f>
        <v>13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IFERROR(__xludf.DUMMYFUNCTION("IMPORTRANGE(""https://docs.google.com/spreadsheets/d/1QqKyyYR6Q21VydFLVH3TRQUabQu_ym0Zz7PgGX0-kHA/edit?usp=sharing"",""แผน!GC53"")"),1)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IFERROR(__xludf.DUMMYFUNCTION("IMPORTRANGE(""https://docs.google.com/spreadsheets/d/1QqKyyYR6Q21VydFLVH3TRQUabQu_ym0Zz7PgGX0-kHA/edit?usp=sharing"",""แผน!FY53"")"),1170)</f>
        <v>1170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IFERROR(__xludf.DUMMYFUNCTION("IMPORTRANGE(""https://docs.google.com/spreadsheets/d/1QqKyyYR6Q21VydFLVH3TRQUabQu_ym0Zz7PgGX0-kHA/edit?usp=sharing"",""แผน!GA53"")"),130)</f>
        <v>130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4">J516</f>
        <v>0</v>
      </c>
      <c r="K500" s="626">
        <f t="shared" ref="K500:K501" si="215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4"/>
        <v>0</v>
      </c>
      <c r="K501" s="635">
        <f t="shared" si="215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6">L503+L504</f>
        <v>0</v>
      </c>
      <c r="M502" s="639">
        <f t="shared" si="216"/>
        <v>0</v>
      </c>
      <c r="N502" s="639">
        <f t="shared" si="216"/>
        <v>0</v>
      </c>
      <c r="O502" s="639">
        <f t="shared" ref="O502:O507" si="217">IF(L502&gt;0,N502*100/L502,0)</f>
        <v>0</v>
      </c>
      <c r="P502" s="639">
        <f t="shared" ref="P502:P507" si="218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9">L506+L513</f>
        <v>0</v>
      </c>
      <c r="M503" s="90">
        <f t="shared" si="219"/>
        <v>0</v>
      </c>
      <c r="N503" s="90">
        <f t="shared" si="219"/>
        <v>0</v>
      </c>
      <c r="O503" s="90">
        <f t="shared" si="217"/>
        <v>0</v>
      </c>
      <c r="P503" s="90">
        <f t="shared" si="218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9"/>
        <v>0</v>
      </c>
      <c r="M504" s="90">
        <f t="shared" si="219"/>
        <v>0</v>
      </c>
      <c r="N504" s="90">
        <f t="shared" si="219"/>
        <v>0</v>
      </c>
      <c r="O504" s="90">
        <f t="shared" si="217"/>
        <v>0</v>
      </c>
      <c r="P504" s="90">
        <f t="shared" si="218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20">L506+L507</f>
        <v>0</v>
      </c>
      <c r="M505" s="90">
        <f t="shared" si="220"/>
        <v>0</v>
      </c>
      <c r="N505" s="90">
        <f t="shared" si="220"/>
        <v>0</v>
      </c>
      <c r="O505" s="90">
        <f t="shared" si="217"/>
        <v>0</v>
      </c>
      <c r="P505" s="90">
        <f t="shared" si="218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7"/>
        <v>0</v>
      </c>
      <c r="P506" s="90">
        <f t="shared" si="218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7"/>
        <v>0</v>
      </c>
      <c r="P507" s="90">
        <f t="shared" si="218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1">L513+L514</f>
        <v>0</v>
      </c>
      <c r="M512" s="90">
        <f t="shared" si="221"/>
        <v>0</v>
      </c>
      <c r="N512" s="90">
        <f t="shared" si="221"/>
        <v>0</v>
      </c>
      <c r="O512" s="90">
        <f t="shared" ref="O512:O514" si="222">IF(L512&gt;0,N512*100/L512,0)</f>
        <v>0</v>
      </c>
      <c r="P512" s="90">
        <f t="shared" ref="P512:P514" si="223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2"/>
        <v>0</v>
      </c>
      <c r="P513" s="90">
        <f t="shared" si="223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2"/>
        <v>0</v>
      </c>
      <c r="P514" s="90">
        <f t="shared" si="223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4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4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5">I537</f>
        <v>50</v>
      </c>
      <c r="J522" s="698">
        <f t="shared" ca="1" si="225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6">L524+L525</f>
        <v>427460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9">L527+L534</f>
        <v>0</v>
      </c>
      <c r="M524" s="90">
        <f t="shared" si="229"/>
        <v>0</v>
      </c>
      <c r="N524" s="90">
        <f t="shared" si="229"/>
        <v>0</v>
      </c>
      <c r="O524" s="90">
        <f t="shared" si="227"/>
        <v>0</v>
      </c>
      <c r="P524" s="90">
        <f t="shared" si="228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9"/>
        <v>427460</v>
      </c>
      <c r="M525" s="90">
        <f t="shared" si="229"/>
        <v>0</v>
      </c>
      <c r="N525" s="90">
        <f t="shared" si="229"/>
        <v>0</v>
      </c>
      <c r="O525" s="90">
        <f t="shared" ca="1" si="227"/>
        <v>0</v>
      </c>
      <c r="P525" s="90">
        <f t="shared" si="228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30">L527+L528</f>
        <v>427460</v>
      </c>
      <c r="M526" s="495">
        <f t="shared" si="230"/>
        <v>0</v>
      </c>
      <c r="N526" s="495">
        <f t="shared" si="230"/>
        <v>0</v>
      </c>
      <c r="O526" s="495">
        <f t="shared" ca="1" si="227"/>
        <v>0</v>
      </c>
      <c r="P526" s="495">
        <f t="shared" si="228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7"/>
        <v>0</v>
      </c>
      <c r="P527" s="90">
        <f t="shared" si="228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IFERROR(__xludf.DUMMYFUNCTION("IMPORTRANGE(""https://docs.google.com/spreadsheets/d/1QqKyyYR6Q21VydFLVH3TRQUabQu_ym0Zz7PgGX0-kHA/edit?usp=sharing"",""แผน!GQ53"")"),427460)</f>
        <v>427460</v>
      </c>
      <c r="M528" s="90">
        <v>0</v>
      </c>
      <c r="N528" s="90">
        <f>N529+N530+N531+N532</f>
        <v>0</v>
      </c>
      <c r="O528" s="90">
        <f t="shared" ca="1" si="227"/>
        <v>0</v>
      </c>
      <c r="P528" s="90">
        <f t="shared" si="228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1">L534+L535</f>
        <v>0</v>
      </c>
      <c r="M533" s="495">
        <f t="shared" si="231"/>
        <v>0</v>
      </c>
      <c r="N533" s="495">
        <f t="shared" si="231"/>
        <v>0</v>
      </c>
      <c r="O533" s="495">
        <f t="shared" ref="O533:O535" ca="1" si="232">IF(L533&gt;0,N533*100/L533,0)</f>
        <v>0</v>
      </c>
      <c r="P533" s="495">
        <f t="shared" ref="P533:P535" si="233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2"/>
        <v>0</v>
      </c>
      <c r="P534" s="90">
        <f t="shared" si="233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IFERROR(__xludf.DUMMYFUNCTION("IMPORTRANGE(""https://docs.google.com/spreadsheets/d/1QqKyyYR6Q21VydFLVH3TRQUabQu_ym0Zz7PgGX0-kHA/edit?usp=sharing"",""แผน!GT53"")"),0)</f>
        <v>0</v>
      </c>
      <c r="M535" s="90">
        <v>0</v>
      </c>
      <c r="N535" s="90">
        <v>0</v>
      </c>
      <c r="O535" s="90">
        <f t="shared" ca="1" si="232"/>
        <v>0</v>
      </c>
      <c r="P535" s="90">
        <f t="shared" si="233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IFERROR(__xludf.DUMMYFUNCTION("IMPORTRANGE(""https://docs.google.com/spreadsheets/d/1QqKyyYR6Q21VydFLVH3TRQUabQu_ym0Zz7PgGX0-kHA/edit?usp=sharing"",""แผน!GU53"")"),50)</f>
        <v>50</v>
      </c>
      <c r="J537" s="673">
        <f ca="1">IF(AND(J538=I538,J539=I539,J540=I540,J541=I541),I537,0)</f>
        <v>0</v>
      </c>
      <c r="K537" s="495">
        <f t="shared" ref="K537:K543" ca="1" si="234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IFERROR(__xludf.DUMMYFUNCTION("IMPORTRANGE(""https://docs.google.com/spreadsheets/d/1QqKyyYR6Q21VydFLVH3TRQUabQu_ym0Zz7PgGX0-kHA/edit?usp=sharing"",""แผน!GV53"")"),50)</f>
        <v>50</v>
      </c>
      <c r="J538" s="210">
        <v>0</v>
      </c>
      <c r="K538" s="495">
        <f t="shared" ca="1" si="234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IFERROR(__xludf.DUMMYFUNCTION("IMPORTRANGE(""https://docs.google.com/spreadsheets/d/1QqKyyYR6Q21VydFLVH3TRQUabQu_ym0Zz7PgGX0-kHA/edit?usp=sharing"",""แผน!GW53"")"),0)</f>
        <v>0</v>
      </c>
      <c r="J539" s="210">
        <v>0</v>
      </c>
      <c r="K539" s="495">
        <f t="shared" ca="1" si="234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IFERROR(__xludf.DUMMYFUNCTION("IMPORTRANGE(""https://docs.google.com/spreadsheets/d/1QqKyyYR6Q21VydFLVH3TRQUabQu_ym0Zz7PgGX0-kHA/edit?usp=sharing"",""แผน!GX53"")"),0)</f>
        <v>0</v>
      </c>
      <c r="J540" s="210">
        <v>0</v>
      </c>
      <c r="K540" s="495">
        <f t="shared" ca="1" si="234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IFERROR(__xludf.DUMMYFUNCTION("IMPORTRANGE(""https://docs.google.com/spreadsheets/d/1QqKyyYR6Q21VydFLVH3TRQUabQu_ym0Zz7PgGX0-kHA/edit?usp=sharing"",""แผน!GY53"")"),50)</f>
        <v>50</v>
      </c>
      <c r="J541" s="210">
        <v>0</v>
      </c>
      <c r="K541" s="495">
        <f t="shared" ca="1" si="234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IFERROR(__xludf.DUMMYFUNCTION("IMPORTRANGE(""https://docs.google.com/spreadsheets/d/1QqKyyYR6Q21VydFLVH3TRQUabQu_ym0Zz7PgGX0-kHA/edit?usp=sharing"",""แผน!GZ53"")"),50)</f>
        <v>50</v>
      </c>
      <c r="J542" s="210">
        <v>0</v>
      </c>
      <c r="K542" s="495">
        <f t="shared" ca="1" si="234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5">I559</f>
        <v>62938</v>
      </c>
      <c r="J543" s="679">
        <f t="shared" si="235"/>
        <v>0</v>
      </c>
      <c r="K543" s="680">
        <f t="shared" ca="1" si="234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6">L545+L546</f>
        <v>339323</v>
      </c>
      <c r="M544" s="151">
        <f t="shared" si="236"/>
        <v>0</v>
      </c>
      <c r="N544" s="151">
        <f t="shared" si="236"/>
        <v>0</v>
      </c>
      <c r="O544" s="151">
        <f t="shared" ref="O544:O549" ca="1" si="237">IF(L544&gt;0,N544*100/L544,0)</f>
        <v>0</v>
      </c>
      <c r="P544" s="151">
        <f t="shared" ref="P544:P549" si="238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9">L548+L556</f>
        <v>0</v>
      </c>
      <c r="M545" s="90">
        <f t="shared" ref="M545:N546" si="240">M548+M555</f>
        <v>0</v>
      </c>
      <c r="N545" s="90">
        <f t="shared" si="240"/>
        <v>0</v>
      </c>
      <c r="O545" s="90">
        <f t="shared" si="237"/>
        <v>0</v>
      </c>
      <c r="P545" s="90">
        <f t="shared" si="238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9"/>
        <v>339323</v>
      </c>
      <c r="M546" s="90">
        <f t="shared" si="240"/>
        <v>0</v>
      </c>
      <c r="N546" s="90">
        <f t="shared" si="240"/>
        <v>0</v>
      </c>
      <c r="O546" s="90">
        <f t="shared" ca="1" si="237"/>
        <v>0</v>
      </c>
      <c r="P546" s="90">
        <f t="shared" si="238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1">L548+L549</f>
        <v>339323</v>
      </c>
      <c r="M547" s="495">
        <f t="shared" si="241"/>
        <v>0</v>
      </c>
      <c r="N547" s="495">
        <f t="shared" si="241"/>
        <v>0</v>
      </c>
      <c r="O547" s="495">
        <f t="shared" ca="1" si="237"/>
        <v>0</v>
      </c>
      <c r="P547" s="495">
        <f t="shared" si="238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7"/>
        <v>0</v>
      </c>
      <c r="P548" s="90">
        <f t="shared" si="238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IFERROR(__xludf.DUMMYFUNCTION("IMPORTRANGE(""https://docs.google.com/spreadsheets/d/1QqKyyYR6Q21VydFLVH3TRQUabQu_ym0Zz7PgGX0-kHA/edit?usp=sharing"",""แผน!HB53"")"),339323)</f>
        <v>339323</v>
      </c>
      <c r="M549" s="90">
        <v>0</v>
      </c>
      <c r="N549" s="90">
        <f>N550+N551+N552+N553+N554</f>
        <v>0</v>
      </c>
      <c r="O549" s="90">
        <f t="shared" ca="1" si="237"/>
        <v>0</v>
      </c>
      <c r="P549" s="90">
        <f t="shared" si="238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2">L556+L557</f>
        <v>0</v>
      </c>
      <c r="M555" s="495">
        <f t="shared" si="242"/>
        <v>0</v>
      </c>
      <c r="N555" s="495">
        <f t="shared" si="242"/>
        <v>0</v>
      </c>
      <c r="O555" s="495">
        <f t="shared" ref="O555:O557" ca="1" si="243">IF(L555&gt;0,N555*100/L555,0)</f>
        <v>0</v>
      </c>
      <c r="P555" s="495">
        <f t="shared" ref="P555:P557" si="244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3"/>
        <v>0</v>
      </c>
      <c r="P556" s="90">
        <f t="shared" si="244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IFERROR(__xludf.DUMMYFUNCTION("IMPORTRANGE(""https://docs.google.com/spreadsheets/d/1QqKyyYR6Q21VydFLVH3TRQUabQu_ym0Zz7PgGX0-kHA/edit?usp=sharing"",""แผน!HF53"")"),0)</f>
        <v>0</v>
      </c>
      <c r="M557" s="90">
        <v>0</v>
      </c>
      <c r="N557" s="90">
        <v>0</v>
      </c>
      <c r="O557" s="90">
        <f t="shared" ca="1" si="243"/>
        <v>0</v>
      </c>
      <c r="P557" s="90">
        <f t="shared" si="244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5">I576</f>
        <v>62938</v>
      </c>
      <c r="J559" s="698">
        <f t="shared" si="245"/>
        <v>0</v>
      </c>
      <c r="K559" s="669">
        <f t="shared" ref="K559:K561" ca="1" si="246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IFERROR(__xludf.DUMMYFUNCTION("IMPORTRANGE(""https://docs.google.com/spreadsheets/d/1QqKyyYR6Q21VydFLVH3TRQUabQu_ym0Zz7PgGX0-kHA/edit?usp=sharing"",""แผน!HH53"")"),62938)</f>
        <v>62938</v>
      </c>
      <c r="J560" s="189">
        <f t="shared" ref="J560:J561" si="247">J562+J564+J566</f>
        <v>0</v>
      </c>
      <c r="K560" s="409">
        <f t="shared" ca="1" si="246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IFERROR(__xludf.DUMMYFUNCTION("IMPORTRANGE(""https://docs.google.com/spreadsheets/d/1QqKyyYR6Q21VydFLVH3TRQUabQu_ym0Zz7PgGX0-kHA/edit?usp=sharing"",""แผน!HG53"")"),4165)</f>
        <v>4165</v>
      </c>
      <c r="J561" s="189">
        <f t="shared" si="247"/>
        <v>0</v>
      </c>
      <c r="K561" s="409">
        <f t="shared" ca="1" si="246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IFERROR(__xludf.DUMMYFUNCTION("IMPORTRANGE(""https://docs.google.com/spreadsheets/d/1QqKyyYR6Q21VydFLVH3TRQUabQu_ym0Zz7PgGX0-kHA/edit?usp=sharing"",""แผน!HH53"")"),62938)</f>
        <v>62938</v>
      </c>
      <c r="J568" s="673">
        <f t="shared" ref="J568:J569" si="248">J570+J572+J574</f>
        <v>0</v>
      </c>
      <c r="K568" s="409">
        <f t="shared" ref="K568:K569" ca="1" si="249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IFERROR(__xludf.DUMMYFUNCTION("IMPORTRANGE(""https://docs.google.com/spreadsheets/d/1QqKyyYR6Q21VydFLVH3TRQUabQu_ym0Zz7PgGX0-kHA/edit?usp=sharing"",""แผน!HG53"")"),4165)</f>
        <v>4165</v>
      </c>
      <c r="J569" s="673">
        <f t="shared" si="248"/>
        <v>0</v>
      </c>
      <c r="K569" s="409">
        <f t="shared" ca="1" si="249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IFERROR(__xludf.DUMMYFUNCTION("IMPORTRANGE(""https://docs.google.com/spreadsheets/d/1QqKyyYR6Q21VydFLVH3TRQUabQu_ym0Zz7PgGX0-kHA/edit?usp=sharing"",""แผน!HH53"")"),62938)</f>
        <v>62938</v>
      </c>
      <c r="J576" s="673">
        <f t="shared" ref="J576:J577" si="250">J578+J580+J582+J588+J590</f>
        <v>0</v>
      </c>
      <c r="K576" s="409">
        <f t="shared" ref="K576:K577" ca="1" si="251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IFERROR(__xludf.DUMMYFUNCTION("IMPORTRANGE(""https://docs.google.com/spreadsheets/d/1QqKyyYR6Q21VydFLVH3TRQUabQu_ym0Zz7PgGX0-kHA/edit?usp=sharing"",""แผน!HG53"")"),4165)</f>
        <v>4165</v>
      </c>
      <c r="J577" s="673">
        <f t="shared" si="250"/>
        <v>0</v>
      </c>
      <c r="K577" s="409">
        <f t="shared" ca="1" si="251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2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2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 hidden="1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3">I593</f>
        <v>0</v>
      </c>
      <c r="J592" s="698">
        <f t="shared" si="253"/>
        <v>0</v>
      </c>
      <c r="K592" s="669">
        <f t="shared" ref="K592:K594" ca="1" si="254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 hidden="1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IFERROR(__xludf.DUMMYFUNCTION("IMPORTRANGE(""https://docs.google.com/spreadsheets/d/1QqKyyYR6Q21VydFLVH3TRQUabQu_ym0Zz7PgGX0-kHA/edit?usp=sharing"",""แผน!HJ53"")"),0)</f>
        <v>0</v>
      </c>
      <c r="J593" s="189">
        <f t="shared" ref="J593:J594" si="255">J595+J603+J609</f>
        <v>0</v>
      </c>
      <c r="K593" s="409">
        <f t="shared" ca="1" si="254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 hidden="1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IFERROR(__xludf.DUMMYFUNCTION("IMPORTRANGE(""https://docs.google.com/spreadsheets/d/1QqKyyYR6Q21VydFLVH3TRQUabQu_ym0Zz7PgGX0-kHA/edit?usp=sharing"",""แผน!HI53"")"),0)</f>
        <v>0</v>
      </c>
      <c r="J594" s="189">
        <f t="shared" si="255"/>
        <v>0</v>
      </c>
      <c r="K594" s="409">
        <f t="shared" ca="1" si="254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 hidden="1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6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 hidden="1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6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 hidden="1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 hidden="1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 hidden="1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 hidden="1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 hidden="1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 hidden="1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 hidden="1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7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 hidden="1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7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 hidden="1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 hidden="1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 hidden="1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 hidden="1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 hidden="1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 hidden="1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8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9">J614+J616</f>
        <v>0</v>
      </c>
      <c r="K612" s="707">
        <f t="shared" si="258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9"/>
        <v>0</v>
      </c>
      <c r="K613" s="707">
        <f t="shared" si="258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IFERROR(__xludf.DUMMYFUNCTION("IMPORTRANGE(""https://docs.google.com/spreadsheets/d/1QqKyyYR6Q21VydFLVH3TRQUabQu_ym0Zz7PgGX0-kHA/edit?usp=sharing"",""แผน!HL53"")"),0)</f>
        <v>0</v>
      </c>
      <c r="J620" s="718">
        <f t="shared" ref="J620:J621" si="260">J622+J624+J626</f>
        <v>0</v>
      </c>
      <c r="K620" s="719">
        <f t="shared" ref="K620:K621" ca="1" si="261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IFERROR(__xludf.DUMMYFUNCTION("IMPORTRANGE(""https://docs.google.com/spreadsheets/d/1QqKyyYR6Q21VydFLVH3TRQUabQu_ym0Zz7PgGX0-kHA/edit?usp=sharing"",""แผน!HK53"")"),0)</f>
        <v>0</v>
      </c>
      <c r="J621" s="718">
        <f t="shared" si="260"/>
        <v>0</v>
      </c>
      <c r="K621" s="719">
        <f t="shared" ca="1" si="261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2">I651</f>
        <v>70</v>
      </c>
      <c r="J628" s="731">
        <f t="shared" ca="1" si="262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3">L630+L631</f>
        <v>380400</v>
      </c>
      <c r="M629" s="191">
        <f t="shared" si="263"/>
        <v>0</v>
      </c>
      <c r="N629" s="191">
        <f t="shared" si="263"/>
        <v>0</v>
      </c>
      <c r="O629" s="191">
        <f t="shared" ref="O629:O634" ca="1" si="264">IF(L629&gt;0,N629*100/L629,0)</f>
        <v>0</v>
      </c>
      <c r="P629" s="191">
        <f t="shared" ref="P629:P634" si="265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6">L633+L640</f>
        <v>0</v>
      </c>
      <c r="M630" s="90">
        <f t="shared" si="266"/>
        <v>0</v>
      </c>
      <c r="N630" s="90">
        <f t="shared" si="266"/>
        <v>0</v>
      </c>
      <c r="O630" s="90">
        <f t="shared" si="264"/>
        <v>0</v>
      </c>
      <c r="P630" s="90">
        <f t="shared" si="265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6"/>
        <v>380400</v>
      </c>
      <c r="M631" s="90">
        <f t="shared" si="266"/>
        <v>0</v>
      </c>
      <c r="N631" s="90">
        <f t="shared" si="266"/>
        <v>0</v>
      </c>
      <c r="O631" s="90">
        <f t="shared" ca="1" si="264"/>
        <v>0</v>
      </c>
      <c r="P631" s="90">
        <f t="shared" si="265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7">L633+L634</f>
        <v>380400</v>
      </c>
      <c r="M632" s="495">
        <f t="shared" si="267"/>
        <v>0</v>
      </c>
      <c r="N632" s="495">
        <f t="shared" si="267"/>
        <v>0</v>
      </c>
      <c r="O632" s="495">
        <f t="shared" ca="1" si="264"/>
        <v>0</v>
      </c>
      <c r="P632" s="495">
        <f t="shared" si="265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4"/>
        <v>0</v>
      </c>
      <c r="P633" s="90">
        <f t="shared" si="265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IFERROR(__xludf.DUMMYFUNCTION("IMPORTRANGE(""https://docs.google.com/spreadsheets/d/1QqKyyYR6Q21VydFLVH3TRQUabQu_ym0Zz7PgGX0-kHA/edit?usp=sharing"",""แผน!HN53"")"),380400)</f>
        <v>380400</v>
      </c>
      <c r="M634" s="90">
        <v>0</v>
      </c>
      <c r="N634" s="90">
        <f>N635+N636+N637+N638</f>
        <v>0</v>
      </c>
      <c r="O634" s="90">
        <f t="shared" ca="1" si="264"/>
        <v>0</v>
      </c>
      <c r="P634" s="90">
        <f t="shared" si="265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8">L640+L641</f>
        <v>0</v>
      </c>
      <c r="M639" s="495">
        <f t="shared" si="268"/>
        <v>0</v>
      </c>
      <c r="N639" s="495">
        <f t="shared" si="268"/>
        <v>0</v>
      </c>
      <c r="O639" s="495">
        <f t="shared" ref="O639:O641" ca="1" si="269">IF(L639&gt;0,N639*100/L639,0)</f>
        <v>0</v>
      </c>
      <c r="P639" s="495">
        <f t="shared" ref="P639:P641" si="270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9"/>
        <v>0</v>
      </c>
      <c r="P640" s="90">
        <f t="shared" si="270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IFERROR(__xludf.DUMMYFUNCTION("IMPORTRANGE(""https://docs.google.com/spreadsheets/d/1QqKyyYR6Q21VydFLVH3TRQUabQu_ym0Zz7PgGX0-kHA/edit?usp=sharing"",""แผน!HQ53"")"),0)</f>
        <v>0</v>
      </c>
      <c r="M641" s="90">
        <v>0</v>
      </c>
      <c r="N641" s="90">
        <v>0</v>
      </c>
      <c r="O641" s="90">
        <f t="shared" ca="1" si="269"/>
        <v>0</v>
      </c>
      <c r="P641" s="90">
        <f t="shared" si="270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IFERROR(__xludf.DUMMYFUNCTION("IMPORTRANGE(""https://docs.google.com/spreadsheets/d/1QqKyyYR6Q21VydFLVH3TRQUabQu_ym0Zz7PgGX0-kHA/edit?usp=sharing"",""แผน!HR53"")"),2)</f>
        <v>2</v>
      </c>
      <c r="J643" s="210">
        <v>0</v>
      </c>
      <c r="K643" s="159">
        <f t="shared" ref="K643:K652" ca="1" si="271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IFERROR(__xludf.DUMMYFUNCTION("IMPORTRANGE(""https://docs.google.com/spreadsheets/d/1QqKyyYR6Q21VydFLVH3TRQUabQu_ym0Zz7PgGX0-kHA/edit?usp=sharing"",""แผน!HR53"")"),2)</f>
        <v>2</v>
      </c>
      <c r="J644" s="210">
        <v>0</v>
      </c>
      <c r="K644" s="159">
        <f t="shared" ca="1" si="271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IFERROR(__xludf.DUMMYFUNCTION("IMPORTRANGE(""https://docs.google.com/spreadsheets/d/1XWAQStnk-4SwqDmLtmXYiTMKHgktTP8We1SCoS47DrQ/edit?usp=sharing"",""จัดที่ดิน!AS53"")"),0)</f>
        <v>0</v>
      </c>
      <c r="K645" s="159">
        <f t="shared" si="271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IFERROR(__xludf.DUMMYFUNCTION("IMPORTRANGE(""https://docs.google.com/spreadsheets/d/1XWAQStnk-4SwqDmLtmXYiTMKHgktTP8We1SCoS47DrQ/edit?usp=sharing"",""จัดที่ดิน!AT53"")"),0)</f>
        <v>0</v>
      </c>
      <c r="K646" s="495">
        <f t="shared" si="271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IFERROR(__xludf.DUMMYFUNCTION("IMPORTRANGE(""https://docs.google.com/spreadsheets/d/1QqKyyYR6Q21VydFLVH3TRQUabQu_ym0Zz7PgGX0-kHA/edit?usp=sharing"",""แผน!HS53"")"),70)</f>
        <v>70</v>
      </c>
      <c r="J647" s="264">
        <f ca="1">IFERROR(__xludf.DUMMYFUNCTION("IMPORTRANGE(""https://docs.google.com/spreadsheets/d/1XWAQStnk-4SwqDmLtmXYiTMKHgktTP8We1SCoS47DrQ/edit?usp=sharing"",""จัดที่ดิน!AU53"")"),0)</f>
        <v>0</v>
      </c>
      <c r="K647" s="159">
        <f t="shared" ca="1" si="271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IFERROR(__xludf.DUMMYFUNCTION("IMPORTRANGE(""https://docs.google.com/spreadsheets/d/1XWAQStnk-4SwqDmLtmXYiTMKHgktTP8We1SCoS47DrQ/edit?usp=sharing"",""จัดที่ดิน!AV53"")"),0)</f>
        <v>0</v>
      </c>
      <c r="K648" s="495">
        <f t="shared" si="271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IFERROR(__xludf.DUMMYFUNCTION("IMPORTRANGE(""https://docs.google.com/spreadsheets/d/1QqKyyYR6Q21VydFLVH3TRQUabQu_ym0Zz7PgGX0-kHA/edit?usp=sharing"",""แผน!HS53"")"),70)</f>
        <v>70</v>
      </c>
      <c r="J649" s="264">
        <f ca="1">IFERROR(__xludf.DUMMYFUNCTION("IMPORTRANGE(""https://docs.google.com/spreadsheets/d/1XWAQStnk-4SwqDmLtmXYiTMKHgktTP8We1SCoS47DrQ/edit?usp=sharing"",""จัดที่ดิน!AW53"")"),0)</f>
        <v>0</v>
      </c>
      <c r="K649" s="159">
        <f t="shared" ca="1" si="271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IFERROR(__xludf.DUMMYFUNCTION("IMPORTRANGE(""https://docs.google.com/spreadsheets/d/1XWAQStnk-4SwqDmLtmXYiTMKHgktTP8We1SCoS47DrQ/edit?usp=sharing"",""จัดที่ดิน!AX53"")"),0)</f>
        <v>0</v>
      </c>
      <c r="K650" s="495">
        <f t="shared" si="271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IFERROR(__xludf.DUMMYFUNCTION("IMPORTRANGE(""https://docs.google.com/spreadsheets/d/1QqKyyYR6Q21VydFLVH3TRQUabQu_ym0Zz7PgGX0-kHA/edit?usp=sharing"",""แผน!HS53"")"),70)</f>
        <v>70</v>
      </c>
      <c r="J651" s="264">
        <f ca="1">IFERROR(__xludf.DUMMYFUNCTION("IMPORTRANGE(""https://docs.google.com/spreadsheets/d/1XWAQStnk-4SwqDmLtmXYiTMKHgktTP8We1SCoS47DrQ/edit?usp=sharing"",""จัดที่ดิน!AY53"")"),0)</f>
        <v>0</v>
      </c>
      <c r="K651" s="159">
        <f t="shared" ca="1" si="271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IFERROR(__xludf.DUMMYFUNCTION("IMPORTRANGE(""https://docs.google.com/spreadsheets/d/1XWAQStnk-4SwqDmLtmXYiTMKHgktTP8We1SCoS47DrQ/edit?usp=sharing"",""จัดที่ดิน!AZ53"")"),0)</f>
        <v>0</v>
      </c>
      <c r="K652" s="499">
        <f t="shared" si="271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2">I669</f>
        <v>200</v>
      </c>
      <c r="J654" s="698">
        <f t="shared" si="272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3">L656+L657</f>
        <v>20000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6">L659+L666</f>
        <v>0</v>
      </c>
      <c r="M656" s="90">
        <f t="shared" si="276"/>
        <v>0</v>
      </c>
      <c r="N656" s="90">
        <f t="shared" si="276"/>
        <v>0</v>
      </c>
      <c r="O656" s="90">
        <f t="shared" si="274"/>
        <v>0</v>
      </c>
      <c r="P656" s="90">
        <f t="shared" si="275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6"/>
        <v>20000</v>
      </c>
      <c r="M657" s="90">
        <f t="shared" si="276"/>
        <v>0</v>
      </c>
      <c r="N657" s="90">
        <f t="shared" si="276"/>
        <v>0</v>
      </c>
      <c r="O657" s="90">
        <f t="shared" ca="1" si="274"/>
        <v>0</v>
      </c>
      <c r="P657" s="90">
        <f t="shared" si="275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7">L659+L660</f>
        <v>20000</v>
      </c>
      <c r="M658" s="495">
        <f t="shared" si="277"/>
        <v>0</v>
      </c>
      <c r="N658" s="495">
        <f t="shared" si="277"/>
        <v>0</v>
      </c>
      <c r="O658" s="495">
        <f t="shared" ca="1" si="274"/>
        <v>0</v>
      </c>
      <c r="P658" s="495">
        <f t="shared" si="275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4"/>
        <v>0</v>
      </c>
      <c r="P659" s="90">
        <f t="shared" si="275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IFERROR(__xludf.DUMMYFUNCTION("IMPORTRANGE(""https://docs.google.com/spreadsheets/d/1QqKyyYR6Q21VydFLVH3TRQUabQu_ym0Zz7PgGX0-kHA/edit?usp=sharing"",""แผน!HV53"")"),20000)</f>
        <v>20000</v>
      </c>
      <c r="M660" s="90">
        <v>0</v>
      </c>
      <c r="N660" s="90">
        <f>N661+N662+N663+N664</f>
        <v>0</v>
      </c>
      <c r="O660" s="90">
        <f t="shared" ca="1" si="274"/>
        <v>0</v>
      </c>
      <c r="P660" s="90">
        <f t="shared" si="275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8">L666+L667</f>
        <v>0</v>
      </c>
      <c r="M665" s="495">
        <f t="shared" si="278"/>
        <v>0</v>
      </c>
      <c r="N665" s="495">
        <f t="shared" si="278"/>
        <v>0</v>
      </c>
      <c r="O665" s="495">
        <f t="shared" ref="O665:O667" si="279">IF(L665&gt;0,N665*100/L665,0)</f>
        <v>0</v>
      </c>
      <c r="P665" s="495">
        <f t="shared" ref="P665:P667" si="280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9"/>
        <v>0</v>
      </c>
      <c r="P666" s="90">
        <f t="shared" si="280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9"/>
        <v>0</v>
      </c>
      <c r="P667" s="90">
        <f t="shared" si="280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IFERROR(__xludf.DUMMYFUNCTION("IMPORTRANGE(""https://docs.google.com/spreadsheets/d/1QqKyyYR6Q21VydFLVH3TRQUabQu_ym0Zz7PgGX0-kHA/edit?usp=sharing"",""แผน!IA53"")"),200)</f>
        <v>200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IFERROR(__xludf.DUMMYFUNCTION("IMPORTRANGE(""https://docs.google.com/spreadsheets/d/1QqKyyYR6Q21VydFLVH3TRQUabQu_ym0Zz7PgGX0-kHA/edit?usp=sharing"",""แผน!HZ53"")"),5)</f>
        <v>5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IFERROR(__xludf.DUMMYFUNCTION("IMPORTRANGE(""https://docs.google.com/spreadsheets/d/1QqKyyYR6Q21VydFLVH3TRQUabQu_ym0Zz7PgGX0-kHA/edit?usp=sharing"",""แผน!HZ53"")"),5)</f>
        <v>5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1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1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1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1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IFERROR(__xludf.DUMMYFUNCTION("IMPORTRANGE(""https://docs.google.com/spreadsheets/d/1QqKyyYR6Q21VydFLVH3TRQUabQu_ym0Zz7PgGX0-kHA/edit?usp=sharing"",""แผน!IB53"")"),0)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2">L686+L687</f>
        <v>6600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5">L689+L696</f>
        <v>0</v>
      </c>
      <c r="M686" s="90">
        <f t="shared" si="285"/>
        <v>0</v>
      </c>
      <c r="N686" s="90">
        <f t="shared" si="285"/>
        <v>0</v>
      </c>
      <c r="O686" s="90">
        <f t="shared" si="283"/>
        <v>0</v>
      </c>
      <c r="P686" s="90">
        <f t="shared" si="284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5"/>
        <v>6600</v>
      </c>
      <c r="M687" s="90">
        <f t="shared" si="285"/>
        <v>0</v>
      </c>
      <c r="N687" s="90">
        <f t="shared" si="285"/>
        <v>0</v>
      </c>
      <c r="O687" s="90">
        <f t="shared" ca="1" si="283"/>
        <v>0</v>
      </c>
      <c r="P687" s="90">
        <f t="shared" si="284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6">L689+L690</f>
        <v>6600</v>
      </c>
      <c r="M688" s="495">
        <f t="shared" si="286"/>
        <v>0</v>
      </c>
      <c r="N688" s="495">
        <f t="shared" si="286"/>
        <v>0</v>
      </c>
      <c r="O688" s="495">
        <f t="shared" ca="1" si="283"/>
        <v>0</v>
      </c>
      <c r="P688" s="495">
        <f t="shared" si="284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IFERROR(__xludf.DUMMYFUNCTION("IMPORTRANGE(""https://docs.google.com/spreadsheets/d/1QqKyyYR6Q21VydFLVH3TRQUabQu_ym0Zz7PgGX0-kHA/edit?usp=sharing"",""แผน!HW53"")"),6600)</f>
        <v>6600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7">L696+L697</f>
        <v>0</v>
      </c>
      <c r="M695" s="495">
        <f t="shared" si="287"/>
        <v>0</v>
      </c>
      <c r="N695" s="495">
        <f t="shared" si="287"/>
        <v>0</v>
      </c>
      <c r="O695" s="495">
        <f t="shared" ref="O695:O697" si="288">IF(L695&gt;0,N695*100/L695,0)</f>
        <v>0</v>
      </c>
      <c r="P695" s="495">
        <f t="shared" ref="P695:P697" si="289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8"/>
        <v>0</v>
      </c>
      <c r="P696" s="90">
        <f t="shared" si="289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8"/>
        <v>0</v>
      </c>
      <c r="P697" s="90">
        <f t="shared" si="289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IFERROR(__xludf.DUMMYFUNCTION("IMPORTRANGE(""https://docs.google.com/spreadsheets/d/1QqKyyYR6Q21VydFLVH3TRQUabQu_ym0Zz7PgGX0-kHA/edit?usp=sharing"",""แผน!IC53"")"),0)</f>
        <v>0</v>
      </c>
      <c r="J699" s="264">
        <f ca="1">IFERROR(__xludf.DUMMYFUNCTION("IMPORTRANGE(""https://docs.google.com/spreadsheets/d/1XWAQStnk-4SwqDmLtmXYiTMKHgktTP8We1SCoS47DrQ/edit?usp=sharing"",""จัดที่ดิน!BB53"")"),0)</f>
        <v>0</v>
      </c>
      <c r="K699" s="495">
        <f t="shared" ref="K699:K701" ca="1" si="290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IFERROR(__xludf.DUMMYFUNCTION("IMPORTRANGE(""https://docs.google.com/spreadsheets/d/1QqKyyYR6Q21VydFLVH3TRQUabQu_ym0Zz7PgGX0-kHA/edit?usp=sharing"",""แผน!ID53"")"),0)</f>
        <v>0</v>
      </c>
      <c r="J700" s="264">
        <f ca="1">IFERROR(__xludf.DUMMYFUNCTION("IMPORTRANGE(""https://docs.google.com/spreadsheets/d/1XWAQStnk-4SwqDmLtmXYiTMKHgktTP8We1SCoS47DrQ/edit?usp=sharing"",""จัดที่ดิน!BD53"")"),0)</f>
        <v>0</v>
      </c>
      <c r="K700" s="495">
        <f t="shared" ca="1" si="290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IFERROR(__xludf.DUMMYFUNCTION("IMPORTRANGE(""https://docs.google.com/spreadsheets/d/1QqKyyYR6Q21VydFLVH3TRQUabQu_ym0Zz7PgGX0-kHA/edit?usp=sharing"",""แผน!IE53"")"),0)</f>
        <v>0</v>
      </c>
      <c r="J701" s="673">
        <f>J704+J707</f>
        <v>0</v>
      </c>
      <c r="K701" s="191">
        <f t="shared" ca="1" si="290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IFERROR(__xludf.DUMMYFUNCTION("IMPORTRANGE(""https://docs.google.com/spreadsheets/d/1QqKyyYR6Q21VydFLVH3TRQUabQu_ym0Zz7PgGX0-kHA/edit?usp=sharing"",""แผน!IF53"")"),0)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IFERROR(__xludf.DUMMYFUNCTION("IMPORTRANGE(""https://docs.google.com/spreadsheets/d/1QqKyyYR6Q21VydFLVH3TRQUabQu_ym0Zz7PgGX0-kHA/edit?usp=sharing"",""แผน!IG53"")"),0)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IFERROR(__xludf.DUMMYFUNCTION("IMPORTRANGE(""https://docs.google.com/spreadsheets/d/1QqKyyYR6Q21VydFLVH3TRQUabQu_ym0Zz7PgGX0-kHA/edit?usp=sharing"",""แผน!IH53"")"),0)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IFERROR(__xludf.DUMMYFUNCTION("IMPORTRANGE(""https://docs.google.com/spreadsheets/d/1XWAQStnk-4SwqDmLtmXYiTMKHgktTP8We1SCoS47DrQ/edit?usp=sharing"",""จัดที่ดิน!BF53"")"),0)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IFERROR(__xludf.DUMMYFUNCTION("IMPORTRANGE(""https://docs.google.com/spreadsheets/d/1XWAQStnk-4SwqDmLtmXYiTMKHgktTP8We1SCoS47DrQ/edit?usp=sharing"",""จัดที่ดิน!BG53"")"),0)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IFERROR(__xludf.DUMMYFUNCTION("IMPORTRANGE(""https://docs.google.com/spreadsheets/d/1QqKyyYR6Q21VydFLVH3TRQUabQu_ym0Zz7PgGX0-kHA/edit?usp=sharing"",""แผน!II53"")"),0)</f>
        <v>0</v>
      </c>
      <c r="J720" s="264">
        <f ca="1">IFERROR(__xludf.DUMMYFUNCTION("IMPORTRANGE(""https://docs.google.com/spreadsheets/d/1XWAQStnk-4SwqDmLtmXYiTMKHgktTP8We1SCoS47DrQ/edit?usp=sharing"",""จัดที่ดิน!BH53"")"),0)</f>
        <v>0</v>
      </c>
      <c r="K720" s="495">
        <f t="shared" ref="K720:K723" ca="1" si="291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IFERROR(__xludf.DUMMYFUNCTION("IMPORTRANGE(""https://docs.google.com/spreadsheets/d/1QqKyyYR6Q21VydFLVH3TRQUabQu_ym0Zz7PgGX0-kHA/edit?usp=sharing"",""แผน!IJ53"")"),5)</f>
        <v>5</v>
      </c>
      <c r="J721" s="673">
        <f ca="1">J723+J726</f>
        <v>0</v>
      </c>
      <c r="K721" s="191">
        <f t="shared" ca="1" si="291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IFERROR(__xludf.DUMMYFUNCTION("IMPORTRANGE(""https://docs.google.com/spreadsheets/d/1QqKyyYR6Q21VydFLVH3TRQUabQu_ym0Zz7PgGX0-kHA/edit?usp=sharing"",""แผน!IK53"")"),50)</f>
        <v>50</v>
      </c>
      <c r="J722" s="673">
        <f ca="1">J725+J728</f>
        <v>0</v>
      </c>
      <c r="K722" s="191">
        <f t="shared" ca="1" si="291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IFERROR(__xludf.DUMMYFUNCTION("IMPORTRANGE(""https://docs.google.com/spreadsheets/d/1QqKyyYR6Q21VydFLVH3TRQUabQu_ym0Zz7PgGX0-kHA/edit?usp=sharing"",""แผน!IL53"")"),5)</f>
        <v>5</v>
      </c>
      <c r="J723" s="264">
        <f ca="1">IFERROR(__xludf.DUMMYFUNCTION("IMPORTRANGE(""https://docs.google.com/spreadsheets/d/1XWAQStnk-4SwqDmLtmXYiTMKHgktTP8We1SCoS47DrQ/edit?usp=sharing"",""จัดที่ดิน!BM53"")"),0)</f>
        <v>0</v>
      </c>
      <c r="K723" s="495">
        <f t="shared" ca="1" si="291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IFERROR(__xludf.DUMMYFUNCTION("IMPORTRANGE(""https://docs.google.com/spreadsheets/d/1XWAQStnk-4SwqDmLtmXYiTMKHgktTP8We1SCoS47DrQ/edit?usp=sharing"",""จัดที่ดิน!BN53"")"),0)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IFERROR(__xludf.DUMMYFUNCTION("IMPORTRANGE(""https://docs.google.com/spreadsheets/d/1QqKyyYR6Q21VydFLVH3TRQUabQu_ym0Zz7PgGX0-kHA/edit?usp=sharing"",""แผน!IM53"")"),50)</f>
        <v>50</v>
      </c>
      <c r="J725" s="264">
        <f ca="1">IFERROR(__xludf.DUMMYFUNCTION("IMPORTRANGE(""https://docs.google.com/spreadsheets/d/1XWAQStnk-4SwqDmLtmXYiTMKHgktTP8We1SCoS47DrQ/edit?usp=sharing"",""จัดที่ดิน!BO53"")"),0)</f>
        <v>0</v>
      </c>
      <c r="K725" s="495">
        <f t="shared" ref="K725:K726" ca="1" si="292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IFERROR(__xludf.DUMMYFUNCTION("IMPORTRANGE(""https://docs.google.com/spreadsheets/d/1QqKyyYR6Q21VydFLVH3TRQUabQu_ym0Zz7PgGX0-kHA/edit?usp=sharing"",""แผน!IN53"")"),0)</f>
        <v>0</v>
      </c>
      <c r="J726" s="264">
        <f ca="1">IFERROR(__xludf.DUMMYFUNCTION("IMPORTRANGE(""https://docs.google.com/spreadsheets/d/1XWAQStnk-4SwqDmLtmXYiTMKHgktTP8We1SCoS47DrQ/edit?usp=sharing"",""จัดที่ดิน!BR53"")"),0)</f>
        <v>0</v>
      </c>
      <c r="K726" s="495">
        <f t="shared" ca="1" si="292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IFERROR(__xludf.DUMMYFUNCTION("IMPORTRANGE(""https://docs.google.com/spreadsheets/d/1XWAQStnk-4SwqDmLtmXYiTMKHgktTP8We1SCoS47DrQ/edit?usp=sharing"",""จัดที่ดิน!BS53"")"),0)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IFERROR(__xludf.DUMMYFUNCTION("IMPORTRANGE(""https://docs.google.com/spreadsheets/d/1QqKyyYR6Q21VydFLVH3TRQUabQu_ym0Zz7PgGX0-kHA/edit?usp=sharing"",""แผน!IO53"")"),0)</f>
        <v>0</v>
      </c>
      <c r="J728" s="264">
        <f ca="1">IFERROR(__xludf.DUMMYFUNCTION("IMPORTRANGE(""https://docs.google.com/spreadsheets/d/1XWAQStnk-4SwqDmLtmXYiTMKHgktTP8We1SCoS47DrQ/edit?usp=sharing"",""จัดที่ดิน!BT53"")"),0)</f>
        <v>0</v>
      </c>
      <c r="K728" s="495">
        <f t="shared" ref="K728:K729" ca="1" si="293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IFERROR(__xludf.DUMMYFUNCTION("IMPORTRANGE(""https://docs.google.com/spreadsheets/d/1QqKyyYR6Q21VydFLVH3TRQUabQu_ym0Zz7PgGX0-kHA/edit?usp=sharing"",""แผน!IP53"")"),50)</f>
        <v>50</v>
      </c>
      <c r="J729" s="673">
        <f>J732+J735</f>
        <v>0</v>
      </c>
      <c r="K729" s="191">
        <f t="shared" ca="1" si="293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4">L738+L739</f>
        <v>0</v>
      </c>
      <c r="M737" s="639">
        <f t="shared" si="294"/>
        <v>0</v>
      </c>
      <c r="N737" s="639">
        <f t="shared" si="294"/>
        <v>0</v>
      </c>
      <c r="O737" s="639">
        <f t="shared" ref="O737:O742" si="295">IF(L737&gt;0,N737*100/L737,0)</f>
        <v>0</v>
      </c>
      <c r="P737" s="639">
        <f t="shared" ref="P737:P742" si="296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7">L741+L748</f>
        <v>0</v>
      </c>
      <c r="M738" s="90">
        <f t="shared" si="297"/>
        <v>0</v>
      </c>
      <c r="N738" s="90">
        <f t="shared" si="297"/>
        <v>0</v>
      </c>
      <c r="O738" s="90">
        <f t="shared" si="295"/>
        <v>0</v>
      </c>
      <c r="P738" s="90">
        <f t="shared" si="296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7"/>
        <v>0</v>
      </c>
      <c r="M739" s="90">
        <f t="shared" si="297"/>
        <v>0</v>
      </c>
      <c r="N739" s="90">
        <f t="shared" si="297"/>
        <v>0</v>
      </c>
      <c r="O739" s="90">
        <f t="shared" si="295"/>
        <v>0</v>
      </c>
      <c r="P739" s="90">
        <f t="shared" si="296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8">L741+L742</f>
        <v>0</v>
      </c>
      <c r="M740" s="639">
        <f t="shared" si="298"/>
        <v>0</v>
      </c>
      <c r="N740" s="639">
        <f t="shared" si="298"/>
        <v>0</v>
      </c>
      <c r="O740" s="639">
        <f t="shared" si="295"/>
        <v>0</v>
      </c>
      <c r="P740" s="639">
        <f t="shared" si="296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5"/>
        <v>0</v>
      </c>
      <c r="P741" s="90">
        <f t="shared" si="296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5"/>
        <v>0</v>
      </c>
      <c r="P742" s="90">
        <f t="shared" si="296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9">L748+L749</f>
        <v>0</v>
      </c>
      <c r="M747" s="639">
        <f t="shared" si="299"/>
        <v>0</v>
      </c>
      <c r="N747" s="639">
        <f t="shared" si="299"/>
        <v>0</v>
      </c>
      <c r="O747" s="639">
        <f t="shared" ref="O747:O749" si="300">IF(L747&gt;0,N747*100/L747,0)</f>
        <v>0</v>
      </c>
      <c r="P747" s="639">
        <f t="shared" ref="P747:P749" si="301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300"/>
        <v>0</v>
      </c>
      <c r="P748" s="90">
        <f t="shared" si="301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300"/>
        <v>0</v>
      </c>
      <c r="P749" s="90">
        <f t="shared" si="301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2">L755+L756</f>
        <v>0</v>
      </c>
      <c r="M754" s="639">
        <f t="shared" si="302"/>
        <v>0</v>
      </c>
      <c r="N754" s="639">
        <f t="shared" si="302"/>
        <v>0</v>
      </c>
      <c r="O754" s="639">
        <f t="shared" ref="O754:O759" si="303">IF(L754&gt;0,N754*100/L754,0)</f>
        <v>0</v>
      </c>
      <c r="P754" s="639">
        <f t="shared" ref="P754:P759" si="304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5">L758+L765</f>
        <v>0</v>
      </c>
      <c r="M755" s="90">
        <f t="shared" si="305"/>
        <v>0</v>
      </c>
      <c r="N755" s="90">
        <f t="shared" si="305"/>
        <v>0</v>
      </c>
      <c r="O755" s="90">
        <f t="shared" si="303"/>
        <v>0</v>
      </c>
      <c r="P755" s="90">
        <f t="shared" si="304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5"/>
        <v>0</v>
      </c>
      <c r="M756" s="90">
        <f t="shared" si="305"/>
        <v>0</v>
      </c>
      <c r="N756" s="90">
        <f t="shared" si="305"/>
        <v>0</v>
      </c>
      <c r="O756" s="90">
        <f t="shared" si="303"/>
        <v>0</v>
      </c>
      <c r="P756" s="90">
        <f t="shared" si="304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6">L758+L759</f>
        <v>0</v>
      </c>
      <c r="M757" s="639">
        <f t="shared" si="306"/>
        <v>0</v>
      </c>
      <c r="N757" s="639">
        <f t="shared" si="306"/>
        <v>0</v>
      </c>
      <c r="O757" s="639">
        <f t="shared" si="303"/>
        <v>0</v>
      </c>
      <c r="P757" s="639">
        <f t="shared" si="304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3"/>
        <v>0</v>
      </c>
      <c r="P758" s="90">
        <f t="shared" si="304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3"/>
        <v>0</v>
      </c>
      <c r="P759" s="90">
        <f t="shared" si="304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7">L765+L766</f>
        <v>0</v>
      </c>
      <c r="M764" s="639">
        <f t="shared" si="307"/>
        <v>0</v>
      </c>
      <c r="N764" s="639">
        <f t="shared" si="307"/>
        <v>0</v>
      </c>
      <c r="O764" s="639">
        <f t="shared" ref="O764:O766" si="308">IF(L764&gt;0,N764*100/L764,0)</f>
        <v>0</v>
      </c>
      <c r="P764" s="639">
        <f t="shared" ref="P764:P766" si="309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8"/>
        <v>0</v>
      </c>
      <c r="P765" s="90">
        <f t="shared" si="309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8"/>
        <v>0</v>
      </c>
      <c r="P766" s="90">
        <f t="shared" si="309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10">L771+L772</f>
        <v>0</v>
      </c>
      <c r="M770" s="639">
        <f t="shared" si="310"/>
        <v>0</v>
      </c>
      <c r="N770" s="639">
        <f t="shared" si="310"/>
        <v>0</v>
      </c>
      <c r="O770" s="639">
        <f t="shared" ref="O770:O775" si="311">IF(L770&gt;0,N770*100/L770,0)</f>
        <v>0</v>
      </c>
      <c r="P770" s="639">
        <f t="shared" ref="P770:P775" si="312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3">L774+L781</f>
        <v>0</v>
      </c>
      <c r="M771" s="90">
        <f t="shared" si="313"/>
        <v>0</v>
      </c>
      <c r="N771" s="90">
        <f t="shared" si="313"/>
        <v>0</v>
      </c>
      <c r="O771" s="90">
        <f t="shared" si="311"/>
        <v>0</v>
      </c>
      <c r="P771" s="90">
        <f t="shared" si="312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3"/>
        <v>0</v>
      </c>
      <c r="M772" s="90">
        <f t="shared" si="313"/>
        <v>0</v>
      </c>
      <c r="N772" s="90">
        <f t="shared" si="313"/>
        <v>0</v>
      </c>
      <c r="O772" s="90">
        <f t="shared" si="311"/>
        <v>0</v>
      </c>
      <c r="P772" s="90">
        <f t="shared" si="312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4">L774+L775</f>
        <v>0</v>
      </c>
      <c r="M773" s="639">
        <f t="shared" si="314"/>
        <v>0</v>
      </c>
      <c r="N773" s="639">
        <f t="shared" si="314"/>
        <v>0</v>
      </c>
      <c r="O773" s="639">
        <f t="shared" si="311"/>
        <v>0</v>
      </c>
      <c r="P773" s="639">
        <f t="shared" si="312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1"/>
        <v>0</v>
      </c>
      <c r="P774" s="90">
        <f t="shared" si="312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1"/>
        <v>0</v>
      </c>
      <c r="P775" s="90">
        <f t="shared" si="312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5">L781+L782</f>
        <v>0</v>
      </c>
      <c r="M780" s="639">
        <f t="shared" si="315"/>
        <v>0</v>
      </c>
      <c r="N780" s="639">
        <f t="shared" si="315"/>
        <v>0</v>
      </c>
      <c r="O780" s="639">
        <f t="shared" ref="O780:O782" si="316">IF(L780&gt;0,N780*100/L780,0)</f>
        <v>0</v>
      </c>
      <c r="P780" s="639">
        <f t="shared" ref="P780:P782" si="317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6"/>
        <v>0</v>
      </c>
      <c r="P781" s="90">
        <f t="shared" si="317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6"/>
        <v>0</v>
      </c>
      <c r="P782" s="90">
        <f t="shared" si="317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2">L790+L797</f>
        <v>0</v>
      </c>
      <c r="M787" s="90">
        <f t="shared" si="322"/>
        <v>0</v>
      </c>
      <c r="N787" s="90">
        <f t="shared" si="322"/>
        <v>0</v>
      </c>
      <c r="O787" s="90">
        <f t="shared" si="320"/>
        <v>0</v>
      </c>
      <c r="P787" s="90">
        <f t="shared" si="321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2"/>
        <v>0</v>
      </c>
      <c r="M788" s="90">
        <f t="shared" si="322"/>
        <v>0</v>
      </c>
      <c r="N788" s="90">
        <f t="shared" si="322"/>
        <v>0</v>
      </c>
      <c r="O788" s="90">
        <f t="shared" ca="1" si="320"/>
        <v>0</v>
      </c>
      <c r="P788" s="90">
        <f t="shared" si="321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3">L790+L791</f>
        <v>0</v>
      </c>
      <c r="M789" s="495">
        <f t="shared" si="323"/>
        <v>0</v>
      </c>
      <c r="N789" s="495">
        <f t="shared" si="323"/>
        <v>0</v>
      </c>
      <c r="O789" s="495">
        <f t="shared" ca="1" si="320"/>
        <v>0</v>
      </c>
      <c r="P789" s="495">
        <f t="shared" si="321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20"/>
        <v>0</v>
      </c>
      <c r="P790" s="90">
        <f t="shared" si="321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IFERROR(__xludf.DUMMYFUNCTION("IMPORTRANGE(""https://docs.google.com/spreadsheets/d/1QqKyyYR6Q21VydFLVH3TRQUabQu_ym0Zz7PgGX0-kHA/edit?usp=sharing"",""แผน!JJ53"")"),0)</f>
        <v>0</v>
      </c>
      <c r="M791" s="90">
        <v>0</v>
      </c>
      <c r="N791" s="90">
        <f>N792+N793+N794+N795</f>
        <v>0</v>
      </c>
      <c r="O791" s="90">
        <f t="shared" ca="1" si="320"/>
        <v>0</v>
      </c>
      <c r="P791" s="90">
        <f t="shared" si="321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4">L797+L798</f>
        <v>0</v>
      </c>
      <c r="M796" s="495">
        <f t="shared" si="324"/>
        <v>0</v>
      </c>
      <c r="N796" s="495">
        <f t="shared" si="324"/>
        <v>0</v>
      </c>
      <c r="O796" s="495">
        <f t="shared" ref="O796:O798" si="325">IF(L796&gt;0,N796*100/L796,0)</f>
        <v>0</v>
      </c>
      <c r="P796" s="495">
        <f t="shared" ref="P796:P798" si="326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5"/>
        <v>0</v>
      </c>
      <c r="P797" s="90">
        <f t="shared" si="326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5"/>
        <v>0</v>
      </c>
      <c r="P798" s="90">
        <f t="shared" si="326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IFERROR(__xludf.DUMMYFUNCTION("IMPORTRANGE(""https://docs.google.com/spreadsheets/d/1QqKyyYR6Q21VydFLVH3TRQUabQu_ym0Zz7PgGX0-kHA/edit?usp=sharing"",""แผน!JN53"")"),0)</f>
        <v>0</v>
      </c>
      <c r="J800" s="180">
        <f ca="1">IFERROR(__xludf.DUMMYFUNCTION("IMPORTRANGE(""https://docs.google.com/spreadsheets/d/1MaWodYyGHDf7siQLGxnXhG4mBNTNIuy296niS2xXulU/edit?usp=sharing"",""RTK!H53"")"),0)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IFERROR(__xludf.DUMMYFUNCTION("IMPORTRANGE(""https://docs.google.com/spreadsheets/d/1MaWodYyGHDf7siQLGxnXhG4mBNTNIuy296niS2xXulU/edit?usp=sharing"",""RTK!I53"")"),0)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7">L806+L807</f>
        <v>0</v>
      </c>
      <c r="M805" s="639">
        <f t="shared" si="327"/>
        <v>0</v>
      </c>
      <c r="N805" s="639">
        <f t="shared" si="327"/>
        <v>0</v>
      </c>
      <c r="O805" s="639">
        <f t="shared" ref="O805:O810" si="328">IF(L805&gt;0,N805*100/L805,0)</f>
        <v>0</v>
      </c>
      <c r="P805" s="639">
        <f t="shared" ref="P805:P810" si="329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30">L809+L816</f>
        <v>0</v>
      </c>
      <c r="M806" s="90">
        <f t="shared" si="330"/>
        <v>0</v>
      </c>
      <c r="N806" s="90">
        <f t="shared" si="330"/>
        <v>0</v>
      </c>
      <c r="O806" s="90">
        <f t="shared" si="328"/>
        <v>0</v>
      </c>
      <c r="P806" s="90">
        <f t="shared" si="329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30"/>
        <v>0</v>
      </c>
      <c r="M807" s="90">
        <f t="shared" si="330"/>
        <v>0</v>
      </c>
      <c r="N807" s="90">
        <f t="shared" si="330"/>
        <v>0</v>
      </c>
      <c r="O807" s="90">
        <f t="shared" si="328"/>
        <v>0</v>
      </c>
      <c r="P807" s="90">
        <f t="shared" si="329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1">L809+L810</f>
        <v>0</v>
      </c>
      <c r="M808" s="639">
        <f t="shared" si="331"/>
        <v>0</v>
      </c>
      <c r="N808" s="639">
        <f t="shared" si="331"/>
        <v>0</v>
      </c>
      <c r="O808" s="639">
        <f t="shared" si="328"/>
        <v>0</v>
      </c>
      <c r="P808" s="639">
        <f t="shared" si="329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8"/>
        <v>0</v>
      </c>
      <c r="P809" s="90">
        <f t="shared" si="329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8"/>
        <v>0</v>
      </c>
      <c r="P810" s="90">
        <f t="shared" si="329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2">L816+L817</f>
        <v>0</v>
      </c>
      <c r="M815" s="639">
        <f t="shared" si="332"/>
        <v>0</v>
      </c>
      <c r="N815" s="639">
        <f t="shared" si="332"/>
        <v>0</v>
      </c>
      <c r="O815" s="639">
        <f t="shared" ref="O815:O817" si="333">IF(L815&gt;0,N815*100/L815,0)</f>
        <v>0</v>
      </c>
      <c r="P815" s="639">
        <f t="shared" ref="P815:P817" si="334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3"/>
        <v>0</v>
      </c>
      <c r="P816" s="90">
        <f t="shared" si="334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3"/>
        <v>0</v>
      </c>
      <c r="P817" s="90">
        <f t="shared" si="334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264">
        <f ca="1">IFERROR(__xludf.DUMMYFUNCTION("IMPORTRANGE(""https://docs.google.com/spreadsheets/d/19vJNZY_5yjcGF2XGBMNZRCAIB0Kwfpjp8YEOfu-bneM/edit?usp=sharing"",""งานกองทุน!F53"")"),0)</f>
        <v>0</v>
      </c>
      <c r="K821" s="495">
        <f t="shared" ref="K821:K828" ca="1" si="335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IFERROR(__xludf.DUMMYFUNCTION("IMPORTRANGE(""https://docs.google.com/spreadsheets/d/19vJNZY_5yjcGF2XGBMNZRCAIB0Kwfpjp8YEOfu-bneM/edit?usp=sharing"",""งานกองทุน!C53"")"),71)</f>
        <v>71</v>
      </c>
      <c r="J822" s="264">
        <f ca="1">IFERROR(__xludf.DUMMYFUNCTION("IMPORTRANGE(""https://docs.google.com/spreadsheets/d/19vJNZY_5yjcGF2XGBMNZRCAIB0Kwfpjp8YEOfu-bneM/edit?usp=sharing"",""งานกองทุน!E53"")"),0)</f>
        <v>0</v>
      </c>
      <c r="K822" s="495">
        <f t="shared" ca="1" si="335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264">
        <f ca="1">IFERROR(__xludf.DUMMYFUNCTION("IMPORTRANGE(""https://docs.google.com/spreadsheets/d/19vJNZY_5yjcGF2XGBMNZRCAIB0Kwfpjp8YEOfu-bneM/edit?usp=sharing"",""งานกองทุน!K53"")"),151569.31)</f>
        <v>151569.31</v>
      </c>
      <c r="K823" s="495">
        <f t="shared" ca="1" si="335"/>
        <v>0.77564158569182662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IFERROR(__xludf.DUMMYFUNCTION("IMPORTRANGE(""https://docs.google.com/spreadsheets/d/19vJNZY_5yjcGF2XGBMNZRCAIB0Kwfpjp8YEOfu-bneM/edit?usp=sharing"",""งานกองทุน!H53"")"),669)</f>
        <v>669</v>
      </c>
      <c r="J824" s="264">
        <f ca="1">IFERROR(__xludf.DUMMYFUNCTION("IMPORTRANGE(""https://docs.google.com/spreadsheets/d/19vJNZY_5yjcGF2XGBMNZRCAIB0Kwfpjp8YEOfu-bneM/edit?usp=sharing"",""งานกองทุน!J53"")"),10)</f>
        <v>10</v>
      </c>
      <c r="K824" s="495">
        <f t="shared" ca="1" si="335"/>
        <v>1.4947683109118086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IFERROR(__xludf.DUMMYFUNCTION("IMPORTRANGE(""https://docs.google.com/spreadsheets/d/19vJNZY_5yjcGF2XGBMNZRCAIB0Kwfpjp8YEOfu-bneM/edit?usp=sharing"",""งานกองทุน!N53"")"),403908.17)</f>
        <v>403908.17</v>
      </c>
      <c r="J825" s="264">
        <f ca="1">IFERROR(__xludf.DUMMYFUNCTION("IMPORTRANGE(""https://docs.google.com/spreadsheets/d/19vJNZY_5yjcGF2XGBMNZRCAIB0Kwfpjp8YEOfu-bneM/edit?usp=sharing"",""งานกองทุน!P53"")"),15500)</f>
        <v>15500</v>
      </c>
      <c r="K825" s="495">
        <f t="shared" ca="1" si="335"/>
        <v>3.837505936064626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IFERROR(__xludf.DUMMYFUNCTION("IMPORTRANGE(""https://docs.google.com/spreadsheets/d/19vJNZY_5yjcGF2XGBMNZRCAIB0Kwfpjp8YEOfu-bneM/edit?usp=sharing"",""งานกองทุน!M53"")"),114)</f>
        <v>114</v>
      </c>
      <c r="J826" s="264">
        <f ca="1">IFERROR(__xludf.DUMMYFUNCTION("IMPORTRANGE(""https://docs.google.com/spreadsheets/d/19vJNZY_5yjcGF2XGBMNZRCAIB0Kwfpjp8YEOfu-bneM/edit?usp=sharing"",""งานกองทุน!O53"")"),2)</f>
        <v>2</v>
      </c>
      <c r="K826" s="495">
        <f t="shared" ca="1" si="335"/>
        <v>1.7543859649122806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IFERROR(__xludf.DUMMYFUNCTION("IMPORTRANGE(""https://docs.google.com/spreadsheets/d/19vJNZY_5yjcGF2XGBMNZRCAIB0Kwfpjp8YEOfu-bneM/edit?usp=sharing"",""งานกองทุน!S53"")"),4050000)</f>
        <v>4050000</v>
      </c>
      <c r="J827" s="264">
        <f ca="1">IFERROR(__xludf.DUMMYFUNCTION("IMPORTRANGE(""https://docs.google.com/spreadsheets/d/19vJNZY_5yjcGF2XGBMNZRCAIB0Kwfpjp8YEOfu-bneM/edit?usp=sharing"",""งานกองทุน!U53"")"),0)</f>
        <v>0</v>
      </c>
      <c r="K827" s="495">
        <f t="shared" ca="1" si="335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IFERROR(__xludf.DUMMYFUNCTION("IMPORTRANGE(""https://docs.google.com/spreadsheets/d/19vJNZY_5yjcGF2XGBMNZRCAIB0Kwfpjp8YEOfu-bneM/edit?usp=sharing"",""งานกองทุน!R53"")"),162)</f>
        <v>162</v>
      </c>
      <c r="J828" s="498">
        <f ca="1">IFERROR(__xludf.DUMMYFUNCTION("IMPORTRANGE(""https://docs.google.com/spreadsheets/d/19vJNZY_5yjcGF2XGBMNZRCAIB0Kwfpjp8YEOfu-bneM/edit?usp=sharing"",""งานกองทุน!T53"")"),38)</f>
        <v>38</v>
      </c>
      <c r="K828" s="499">
        <f t="shared" ca="1" si="335"/>
        <v>23.456790123456791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685E1-8D79-437C-B9D5-D12EE7FD0846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selection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332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3373639</v>
      </c>
      <c r="M8" s="21">
        <f t="shared" ca="1" si="0"/>
        <v>1376016</v>
      </c>
      <c r="N8" s="21">
        <f t="shared" ca="1" si="0"/>
        <v>549075.91999999993</v>
      </c>
      <c r="O8" s="21">
        <f t="shared" ref="O8:O16" ca="1" si="1">IF(L8&gt;0,N8*100/L8,0)</f>
        <v>16.275479385909396</v>
      </c>
      <c r="P8" s="21">
        <f t="shared" ref="P8:P16" ca="1" si="2">IF(M8&gt;0,N8*100/M8,0)</f>
        <v>39.903309263845763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3373639</v>
      </c>
      <c r="M10" s="29">
        <f t="shared" ca="1" si="3"/>
        <v>1376016</v>
      </c>
      <c r="N10" s="29">
        <f t="shared" ca="1" si="3"/>
        <v>549075.91999999993</v>
      </c>
      <c r="O10" s="29">
        <f t="shared" ca="1" si="1"/>
        <v>16.275479385909396</v>
      </c>
      <c r="P10" s="29">
        <f t="shared" ca="1" si="2"/>
        <v>39.903309263845763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3209439</v>
      </c>
      <c r="M11" s="495">
        <f t="shared" ca="1" si="4"/>
        <v>1211816</v>
      </c>
      <c r="N11" s="495">
        <f t="shared" ca="1" si="4"/>
        <v>384875.92</v>
      </c>
      <c r="O11" s="495">
        <f t="shared" ca="1" si="1"/>
        <v>11.991999847948504</v>
      </c>
      <c r="P11" s="495">
        <f t="shared" ca="1" si="2"/>
        <v>31.760260633627546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3209439</v>
      </c>
      <c r="M13" s="90">
        <f t="shared" ca="1" si="5"/>
        <v>1211816</v>
      </c>
      <c r="N13" s="90">
        <f t="shared" ca="1" si="5"/>
        <v>384875.92</v>
      </c>
      <c r="O13" s="90">
        <f t="shared" ca="1" si="1"/>
        <v>11.991999847948504</v>
      </c>
      <c r="P13" s="90">
        <f t="shared" ca="1" si="2"/>
        <v>31.760260633627546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164200</v>
      </c>
      <c r="M14" s="495">
        <f t="shared" ca="1" si="6"/>
        <v>164200</v>
      </c>
      <c r="N14" s="495">
        <f t="shared" ca="1" si="6"/>
        <v>164200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164200</v>
      </c>
      <c r="M16" s="51">
        <f t="shared" ca="1" si="7"/>
        <v>164200</v>
      </c>
      <c r="N16" s="51">
        <f t="shared" ca="1" si="7"/>
        <v>164200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2634736</v>
      </c>
      <c r="M18" s="21">
        <f t="shared" ca="1" si="8"/>
        <v>1376016</v>
      </c>
      <c r="N18" s="21">
        <f t="shared" ca="1" si="8"/>
        <v>533305.91999999993</v>
      </c>
      <c r="O18" s="21">
        <f t="shared" ref="O18:O26" ca="1" si="9">IF(L18&gt;0,N18*100/L18,0)</f>
        <v>20.241341827036937</v>
      </c>
      <c r="P18" s="21">
        <f t="shared" ref="P18:P26" ca="1" si="10">IF(M18&gt;0,N18*100/M18,0)</f>
        <v>38.757247008755705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2634736</v>
      </c>
      <c r="M20" s="29">
        <f t="shared" ca="1" si="11"/>
        <v>1376016</v>
      </c>
      <c r="N20" s="29">
        <f t="shared" ca="1" si="11"/>
        <v>533305.91999999993</v>
      </c>
      <c r="O20" s="29">
        <f t="shared" ca="1" si="9"/>
        <v>20.241341827036937</v>
      </c>
      <c r="P20" s="29">
        <f t="shared" ca="1" si="10"/>
        <v>38.757247008755705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2470536</v>
      </c>
      <c r="M21" s="495">
        <f t="shared" ca="1" si="12"/>
        <v>1211816</v>
      </c>
      <c r="N21" s="495">
        <f t="shared" ca="1" si="12"/>
        <v>369105.91999999998</v>
      </c>
      <c r="O21" s="495">
        <f t="shared" ca="1" si="9"/>
        <v>14.940317404806082</v>
      </c>
      <c r="P21" s="495">
        <f t="shared" ca="1" si="10"/>
        <v>30.458907953022571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2470536</v>
      </c>
      <c r="M23" s="90">
        <f t="shared" ca="1" si="13"/>
        <v>1211816</v>
      </c>
      <c r="N23" s="90">
        <f t="shared" ca="1" si="13"/>
        <v>369105.91999999998</v>
      </c>
      <c r="O23" s="90">
        <f t="shared" ca="1" si="9"/>
        <v>14.940317404806082</v>
      </c>
      <c r="P23" s="90">
        <f t="shared" ca="1" si="10"/>
        <v>30.458907953022571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164200</v>
      </c>
      <c r="M24" s="495">
        <f t="shared" ca="1" si="14"/>
        <v>164200</v>
      </c>
      <c r="N24" s="495">
        <f t="shared" ca="1" si="14"/>
        <v>164200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164200</v>
      </c>
      <c r="M26" s="51">
        <f t="shared" ca="1" si="15"/>
        <v>164200</v>
      </c>
      <c r="N26" s="51">
        <f t="shared" ca="1" si="15"/>
        <v>164200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738903</v>
      </c>
      <c r="M28" s="21">
        <f t="shared" si="16"/>
        <v>0</v>
      </c>
      <c r="N28" s="21">
        <f t="shared" si="16"/>
        <v>15770</v>
      </c>
      <c r="O28" s="21">
        <f t="shared" ref="O28:O37" ca="1" si="17">IF(L28&gt;0,N28*100/L28,0)</f>
        <v>2.1342449550211597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738903</v>
      </c>
      <c r="M30" s="29">
        <f t="shared" si="19"/>
        <v>0</v>
      </c>
      <c r="N30" s="29">
        <f t="shared" si="19"/>
        <v>15770</v>
      </c>
      <c r="O30" s="29">
        <f t="shared" ca="1" si="17"/>
        <v>2.1342449550211597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738903</v>
      </c>
      <c r="M31" s="495">
        <f t="shared" si="20"/>
        <v>0</v>
      </c>
      <c r="N31" s="495">
        <f t="shared" si="20"/>
        <v>15770</v>
      </c>
      <c r="O31" s="495">
        <f t="shared" ca="1" si="17"/>
        <v>2.1342449550211597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738903</v>
      </c>
      <c r="M33" s="90">
        <f t="shared" si="21"/>
        <v>0</v>
      </c>
      <c r="N33" s="90">
        <f t="shared" si="21"/>
        <v>15770</v>
      </c>
      <c r="O33" s="90">
        <f t="shared" ca="1" si="17"/>
        <v>2.1342449550211597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2634736</v>
      </c>
      <c r="M37" s="57">
        <f t="shared" ca="1" si="24"/>
        <v>1376016</v>
      </c>
      <c r="N37" s="57">
        <f t="shared" ca="1" si="24"/>
        <v>533305.91999999993</v>
      </c>
      <c r="O37" s="57">
        <f t="shared" ca="1" si="17"/>
        <v>20.241341827036937</v>
      </c>
      <c r="P37" s="57">
        <f t="shared" ca="1" si="18"/>
        <v>38.757247008755705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299096</v>
      </c>
      <c r="M41" s="82">
        <f t="shared" ca="1" si="25"/>
        <v>150146</v>
      </c>
      <c r="N41" s="82">
        <f t="shared" ca="1" si="25"/>
        <v>72796</v>
      </c>
      <c r="O41" s="82">
        <f t="shared" ref="O41:O49" ca="1" si="26">IF(L41&gt;0,N41*100/L41,0)</f>
        <v>24.338673870596732</v>
      </c>
      <c r="P41" s="82">
        <f t="shared" ref="P41:P49" ca="1" si="27">IF(M41&gt;0,N41*100/M41,0)</f>
        <v>48.483476083278944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299096</v>
      </c>
      <c r="M43" s="89">
        <f t="shared" ca="1" si="28"/>
        <v>150146</v>
      </c>
      <c r="N43" s="89">
        <f t="shared" ca="1" si="28"/>
        <v>72796</v>
      </c>
      <c r="O43" s="89">
        <f t="shared" ca="1" si="26"/>
        <v>24.338673870596732</v>
      </c>
      <c r="P43" s="89">
        <f t="shared" ca="1" si="27"/>
        <v>48.483476083278944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299096</v>
      </c>
      <c r="M44" s="495">
        <f t="shared" ca="1" si="29"/>
        <v>150146</v>
      </c>
      <c r="N44" s="495">
        <f t="shared" ca="1" si="29"/>
        <v>72796</v>
      </c>
      <c r="O44" s="495">
        <f t="shared" ca="1" si="26"/>
        <v>24.338673870596732</v>
      </c>
      <c r="P44" s="495">
        <f t="shared" ca="1" si="27"/>
        <v>48.483476083278944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IFERROR(__xludf.DUMMYFUNCTION("IMPORTRANGE(""https://docs.google.com/spreadsheets/d/1MeEWN-I1oV_STSDYn1IFDPWt_1FKiwhDph83XaGc0o0/edit?usp=sharing"",""งบพรบ!M54"")"),299096)</f>
        <v>299096</v>
      </c>
      <c r="M46" s="90">
        <f ca="1">IFERROR(__xludf.DUMMYFUNCTION("IMPORTRANGE(""https://docs.google.com/spreadsheets/d/1MeEWN-I1oV_STSDYn1IFDPWt_1FKiwhDph83XaGc0o0/edit?usp=sharing"",""งบพรบ!R54"")"),150146)</f>
        <v>150146</v>
      </c>
      <c r="N46" s="90">
        <f ca="1">IFERROR(__xludf.DUMMYFUNCTION("IMPORTRANGE(""https://docs.google.com/spreadsheets/d/1MeEWN-I1oV_STSDYn1IFDPWt_1FKiwhDph83XaGc0o0/edit?usp=sharing"",""งบพรบ!T54"")"),72796)</f>
        <v>72796</v>
      </c>
      <c r="O46" s="90">
        <f t="shared" ca="1" si="26"/>
        <v>24.338673870596732</v>
      </c>
      <c r="P46" s="90">
        <f t="shared" ca="1" si="27"/>
        <v>48.483476083278944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IFERROR(__xludf.DUMMYFUNCTION("IMPORTRANGE(""https://docs.google.com/spreadsheets/d/1MeEWN-I1oV_STSDYn1IFDPWt_1FKiwhDph83XaGc0o0/edit?usp=sharing"",""งบพรบ!P54"")"),0)</f>
        <v>0</v>
      </c>
      <c r="M49" s="51">
        <f ca="1">IFERROR(__xludf.DUMMYFUNCTION("IMPORTRANGE(""https://docs.google.com/spreadsheets/d/1MeEWN-I1oV_STSDYn1IFDPWt_1FKiwhDph83XaGc0o0/edit?usp=sharing"",""งบพรบ!S54"")"),0)</f>
        <v>0</v>
      </c>
      <c r="N49" s="51">
        <f ca="1">IFERROR(__xludf.DUMMYFUNCTION("IMPORTRANGE(""https://docs.google.com/spreadsheets/d/1MeEWN-I1oV_STSDYn1IFDPWt_1FKiwhDph83XaGc0o0/edit?usp=sharing"",""งบพรบ!U54"")"),0)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617200</v>
      </c>
      <c r="M53" s="112">
        <f t="shared" ca="1" si="31"/>
        <v>308600</v>
      </c>
      <c r="N53" s="112">
        <f t="shared" ca="1" si="31"/>
        <v>114847.92</v>
      </c>
      <c r="O53" s="112">
        <f t="shared" ref="O53:O61" ca="1" si="32">IF(L53&gt;0,N53*100/L53,0)</f>
        <v>18.607893713545042</v>
      </c>
      <c r="P53" s="112">
        <f t="shared" ref="P53:P61" ca="1" si="33">IF(M53&gt;0,N53*100/M53,0)</f>
        <v>37.215787427090085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617200</v>
      </c>
      <c r="M55" s="119">
        <f t="shared" ca="1" si="34"/>
        <v>308600</v>
      </c>
      <c r="N55" s="119">
        <f t="shared" ca="1" si="34"/>
        <v>114847.92</v>
      </c>
      <c r="O55" s="119">
        <f t="shared" ca="1" si="32"/>
        <v>18.607893713545042</v>
      </c>
      <c r="P55" s="119">
        <f t="shared" ca="1" si="33"/>
        <v>37.215787427090085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617200</v>
      </c>
      <c r="M56" s="495">
        <f t="shared" ca="1" si="35"/>
        <v>308600</v>
      </c>
      <c r="N56" s="495">
        <f t="shared" ca="1" si="35"/>
        <v>114847.92</v>
      </c>
      <c r="O56" s="495">
        <f t="shared" ca="1" si="32"/>
        <v>18.607893713545042</v>
      </c>
      <c r="P56" s="495">
        <f t="shared" ca="1" si="33"/>
        <v>37.215787427090085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IFERROR(__xludf.DUMMYFUNCTION("IMPORTRANGE(""https://docs.google.com/spreadsheets/d/1MeEWN-I1oV_STSDYn1IFDPWt_1FKiwhDph83XaGc0o0/edit?usp=sharing"",""งบพรบ!W54"")"),617200)</f>
        <v>617200</v>
      </c>
      <c r="M58" s="90">
        <f ca="1">IFERROR(__xludf.DUMMYFUNCTION("IMPORTRANGE(""https://docs.google.com/spreadsheets/d/1MeEWN-I1oV_STSDYn1IFDPWt_1FKiwhDph83XaGc0o0/edit?usp=sharing"",""งบพรบ!AB54"")"),308600)</f>
        <v>308600</v>
      </c>
      <c r="N58" s="90">
        <f ca="1">IFERROR(__xludf.DUMMYFUNCTION("IMPORTRANGE(""https://docs.google.com/spreadsheets/d/1MeEWN-I1oV_STSDYn1IFDPWt_1FKiwhDph83XaGc0o0/edit?usp=sharing"",""งบพรบ!AD54"")"),114847.92)</f>
        <v>114847.92</v>
      </c>
      <c r="O58" s="90">
        <f t="shared" ca="1" si="32"/>
        <v>18.607893713545042</v>
      </c>
      <c r="P58" s="90">
        <f t="shared" ca="1" si="33"/>
        <v>37.215787427090085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IFERROR(__xludf.DUMMYFUNCTION("IMPORTRANGE(""https://docs.google.com/spreadsheets/d/1MeEWN-I1oV_STSDYn1IFDPWt_1FKiwhDph83XaGc0o0/edit?usp=sharing"",""งบพรบ!Z54"")"),0)</f>
        <v>0</v>
      </c>
      <c r="M61" s="51">
        <f ca="1">IFERROR(__xludf.DUMMYFUNCTION("IMPORTRANGE(""https://docs.google.com/spreadsheets/d/1MeEWN-I1oV_STSDYn1IFDPWt_1FKiwhDph83XaGc0o0/edit?usp=sharing"",""งบพรบ!AC54"")"),0)</f>
        <v>0</v>
      </c>
      <c r="N61" s="51">
        <f ca="1">IFERROR(__xludf.DUMMYFUNCTION("IMPORTRANGE(""https://docs.google.com/spreadsheets/d/1MeEWN-I1oV_STSDYn1IFDPWt_1FKiwhDph83XaGc0o0/edit?usp=sharing"",""งบพรบ!AE54"")"),0)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IFERROR(__xludf.DUMMYFUNCTION("IMPORTRANGE(""https://docs.google.com/spreadsheets/d/1MeEWN-I1oV_STSDYn1IFDPWt_1FKiwhDph83XaGc0o0/edit?usp=sharing"",""งบพรบ!AG54"")"),0)</f>
        <v>0</v>
      </c>
      <c r="M71" s="90">
        <f ca="1">IFERROR(__xludf.DUMMYFUNCTION("IMPORTRANGE(""https://docs.google.com/spreadsheets/d/1MeEWN-I1oV_STSDYn1IFDPWt_1FKiwhDph83XaGc0o0/edit?usp=sharing"",""งบพรบ!AL54"")"),0)</f>
        <v>0</v>
      </c>
      <c r="N71" s="90">
        <f ca="1">IFERROR(__xludf.DUMMYFUNCTION("IMPORTRANGE(""https://docs.google.com/spreadsheets/d/1MeEWN-I1oV_STSDYn1IFDPWt_1FKiwhDph83XaGc0o0/edit?usp=sharing"",""งบพรบ!AN54"")"),0)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IFERROR(__xludf.DUMMYFUNCTION("IMPORTRANGE(""https://docs.google.com/spreadsheets/d/1MeEWN-I1oV_STSDYn1IFDPWt_1FKiwhDph83XaGc0o0/edit?usp=sharing"",""งบพรบ!AJ54"")"),0)</f>
        <v>0</v>
      </c>
      <c r="M74" s="90">
        <f ca="1">IFERROR(__xludf.DUMMYFUNCTION("IMPORTRANGE(""https://docs.google.com/spreadsheets/d/1MeEWN-I1oV_STSDYn1IFDPWt_1FKiwhDph83XaGc0o0/edit?usp=sharing"",""งบพรบ!AM54"")"),0)</f>
        <v>0</v>
      </c>
      <c r="N74" s="90">
        <f ca="1">IFERROR(__xludf.DUMMYFUNCTION("IMPORTRANGE(""https://docs.google.com/spreadsheets/d/1MeEWN-I1oV_STSDYn1IFDPWt_1FKiwhDph83XaGc0o0/edit?usp=sharing"",""งบพรบ!AO54"")"),0)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IFERROR(__xludf.DUMMYFUNCTION("IMPORTRANGE(""https://docs.google.com/spreadsheets/d/1QqKyyYR6Q21VydFLVH3TRQUabQu_ym0Zz7PgGX0-kHA/edit?usp=sharing"",""แผน!H54"")"),0)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IFERROR(__xludf.DUMMYFUNCTION("IMPORTRANGE(""https://docs.google.com/spreadsheets/d/1QqKyyYR6Q21VydFLVH3TRQUabQu_ym0Zz7PgGX0-kHA/edit?usp=sharing"",""แผน!I54"")"),0)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IFERROR(__xludf.DUMMYFUNCTION("IMPORTRANGE(""https://docs.google.com/spreadsheets/d/1QqKyyYR6Q21VydFLVH3TRQUabQu_ym0Zz7PgGX0-kHA/edit?usp=sharing"",""แผน!F54"")"),0)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IFERROR(__xludf.DUMMYFUNCTION("IMPORTRANGE(""https://docs.google.com/spreadsheets/d/1QqKyyYR6Q21VydFLVH3TRQUabQu_ym0Zz7PgGX0-kHA/edit?usp=sharing"",""แผน!G54"")"),0)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IFERROR(__xludf.DUMMYFUNCTION("IMPORTRANGE(""https://docs.google.com/spreadsheets/d/1QqKyyYR6Q21VydFLVH3TRQUabQu_ym0Zz7PgGX0-kHA/edit?usp=sharing"",""แผน!D54"")"),0)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IFERROR(__xludf.DUMMYFUNCTION("IMPORTRANGE(""https://docs.google.com/spreadsheets/d/1QqKyyYR6Q21VydFLVH3TRQUabQu_ym0Zz7PgGX0-kHA/edit?usp=sharing"",""แผน!E54"")"),0)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IFERROR(__xludf.DUMMYFUNCTION("IMPORTRANGE(""https://docs.google.com/spreadsheets/d/1QqKyyYR6Q21VydFLVH3TRQUabQu_ym0Zz7PgGX0-kHA/edit?usp=sharing"",""แผน!J54"")"),0)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30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378840</v>
      </c>
      <c r="M88" s="151">
        <f t="shared" ca="1" si="49"/>
        <v>161840</v>
      </c>
      <c r="N88" s="151">
        <f t="shared" ca="1" si="49"/>
        <v>61408</v>
      </c>
      <c r="O88" s="151">
        <f t="shared" ref="O88:O96" ca="1" si="50">IF(L88&gt;0,N88*100/L88,0)</f>
        <v>16.209481575335232</v>
      </c>
      <c r="P88" s="151">
        <f t="shared" ref="P88:P96" ca="1" si="51">IF(M88&gt;0,N88*100/M88,0)</f>
        <v>37.943648047454275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378840</v>
      </c>
      <c r="M90" s="90">
        <f t="shared" ca="1" si="52"/>
        <v>161840</v>
      </c>
      <c r="N90" s="90">
        <f t="shared" ca="1" si="52"/>
        <v>61408</v>
      </c>
      <c r="O90" s="90">
        <f t="shared" ca="1" si="50"/>
        <v>16.209481575335232</v>
      </c>
      <c r="P90" s="90">
        <f t="shared" ca="1" si="51"/>
        <v>37.943648047454275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378840</v>
      </c>
      <c r="M91" s="495">
        <f t="shared" ca="1" si="53"/>
        <v>161840</v>
      </c>
      <c r="N91" s="495">
        <f t="shared" ca="1" si="53"/>
        <v>61408</v>
      </c>
      <c r="O91" s="495">
        <f t="shared" ca="1" si="50"/>
        <v>16.209481575335232</v>
      </c>
      <c r="P91" s="495">
        <f t="shared" ca="1" si="51"/>
        <v>37.943648047454275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IFERROR(__xludf.DUMMYFUNCTION("IMPORTRANGE(""https://docs.google.com/spreadsheets/d/1MeEWN-I1oV_STSDYn1IFDPWt_1FKiwhDph83XaGc0o0/edit?usp=sharing"",""งบพรบ!AQ54"")"),378840)</f>
        <v>378840</v>
      </c>
      <c r="M93" s="90">
        <f ca="1">IFERROR(__xludf.DUMMYFUNCTION("IMPORTRANGE(""https://docs.google.com/spreadsheets/d/1MeEWN-I1oV_STSDYn1IFDPWt_1FKiwhDph83XaGc0o0/edit?usp=sharing"",""งบพรบ!AV54"")"),161840)</f>
        <v>161840</v>
      </c>
      <c r="N93" s="90">
        <f ca="1">IFERROR(__xludf.DUMMYFUNCTION("IMPORTRANGE(""https://docs.google.com/spreadsheets/d/1MeEWN-I1oV_STSDYn1IFDPWt_1FKiwhDph83XaGc0o0/edit?usp=sharing"",""งบพรบ!AX54"")"),61408)</f>
        <v>61408</v>
      </c>
      <c r="O93" s="90">
        <f t="shared" ca="1" si="50"/>
        <v>16.209481575335232</v>
      </c>
      <c r="P93" s="90">
        <f t="shared" ca="1" si="51"/>
        <v>37.943648047454275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IFERROR(__xludf.DUMMYFUNCTION("IMPORTRANGE(""https://docs.google.com/spreadsheets/d/1MeEWN-I1oV_STSDYn1IFDPWt_1FKiwhDph83XaGc0o0/edit?usp=sharing"",""งบพรบ!AT54"")"),0)</f>
        <v>0</v>
      </c>
      <c r="M96" s="90">
        <f ca="1">IFERROR(__xludf.DUMMYFUNCTION("IMPORTRANGE(""https://docs.google.com/spreadsheets/d/1MeEWN-I1oV_STSDYn1IFDPWt_1FKiwhDph83XaGc0o0/edit?usp=sharing"",""งบพรบ!AW54"")"),0)</f>
        <v>0</v>
      </c>
      <c r="N96" s="90">
        <f ca="1">IFERROR(__xludf.DUMMYFUNCTION("IMPORTRANGE(""https://docs.google.com/spreadsheets/d/1MeEWN-I1oV_STSDYn1IFDPWt_1FKiwhDph83XaGc0o0/edit?usp=sharing"",""งบพรบ!AY54"")"),0)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IFERROR(__xludf.DUMMYFUNCTION("IMPORTRANGE(""https://docs.google.com/spreadsheets/d/1QqKyyYR6Q21VydFLVH3TRQUabQu_ym0Zz7PgGX0-kHA/edit?usp=sharing"",""แผน!K54"")"),30)</f>
        <v>30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IFERROR(__xludf.DUMMYFUNCTION("IMPORTRANGE(""https://docs.google.com/spreadsheets/d/1QqKyyYR6Q21VydFLVH3TRQUabQu_ym0Zz7PgGX0-kHA/edit?usp=sharing"",""แผน!L54"")"),10)</f>
        <v>10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IFERROR(__xludf.DUMMYFUNCTION("IMPORTRANGE(""https://docs.google.com/spreadsheets/d/1QqKyyYR6Q21VydFLVH3TRQUabQu_ym0Zz7PgGX0-kHA/edit?usp=sharing"",""แผน!M54"")"),2)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IFERROR(__xludf.DUMMYFUNCTION("IMPORTRANGE(""https://docs.google.com/spreadsheets/d/1QqKyyYR6Q21VydFLVH3TRQUabQu_ym0Zz7PgGX0-kHA/edit?usp=sharing"",""แผน!N54"")"),30)</f>
        <v>30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IFERROR(__xludf.DUMMYFUNCTION("IMPORTRANGE(""https://docs.google.com/spreadsheets/d/1QqKyyYR6Q21VydFLVH3TRQUabQu_ym0Zz7PgGX0-kHA/edit?usp=sharing"",""แผน!O54"")"),10)</f>
        <v>10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IFERROR(__xludf.DUMMYFUNCTION("IMPORTRANGE(""https://docs.google.com/spreadsheets/d/1QqKyyYR6Q21VydFLVH3TRQUabQu_ym0Zz7PgGX0-kHA/edit?usp=sharing"",""แผน!O54"")"),10)</f>
        <v>10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IFERROR(__xludf.DUMMYFUNCTION("IMPORTRANGE(""https://docs.google.com/spreadsheets/d/1QqKyyYR6Q21VydFLVH3TRQUabQu_ym0Zz7PgGX0-kHA/edit?usp=sharing"",""แผน!P54"")"),1)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IFERROR(__xludf.DUMMYFUNCTION("IMPORTRANGE(""https://docs.google.com/spreadsheets/d/1QqKyyYR6Q21VydFLVH3TRQUabQu_ym0Zz7PgGX0-kHA/edit?usp=sharing"",""แผน!P54"")"),1)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IFERROR(__xludf.DUMMYFUNCTION("IMPORTRANGE(""https://docs.google.com/spreadsheets/d/1QqKyyYR6Q21VydFLVH3TRQUabQu_ym0Zz7PgGX0-kHA/edit?usp=sharing"",""แผน!Q54"")"),1)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IFERROR(__xludf.DUMMYFUNCTION("IMPORTRANGE(""https://docs.google.com/spreadsheets/d/1QqKyyYR6Q21VydFLVH3TRQUabQu_ym0Zz7PgGX0-kHA/edit?usp=sharing"",""แผน!Q54"")"),1)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IFERROR(__xludf.DUMMYFUNCTION("IMPORTRANGE(""https://docs.google.com/spreadsheets/d/1QqKyyYR6Q21VydFLVH3TRQUabQu_ym0Zz7PgGX0-kHA/edit?usp=sharing"",""แผน!R54"")"),10)</f>
        <v>10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IFERROR(__xludf.DUMMYFUNCTION("IMPORTRANGE(""https://docs.google.com/spreadsheets/d/1QqKyyYR6Q21VydFLVH3TRQUabQu_ym0Zz7PgGX0-kHA/edit?usp=sharing"",""แผน!R54"")"),10)</f>
        <v>10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IFERROR(__xludf.DUMMYFUNCTION("IMPORTRANGE(""https://docs.google.com/spreadsheets/d/1QqKyyYR6Q21VydFLVH3TRQUabQu_ym0Zz7PgGX0-kHA/edit?usp=sharing"",""แผน!R54"")"),10)</f>
        <v>10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IFERROR(__xludf.DUMMYFUNCTION("IMPORTRANGE(""https://docs.google.com/spreadsheets/d/1QqKyyYR6Q21VydFLVH3TRQUabQu_ym0Zz7PgGX0-kHA/edit?usp=sharing"",""แผน!S54"")"),1)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IFERROR(__xludf.DUMMYFUNCTION("IMPORTRANGE(""https://docs.google.com/spreadsheets/d/1QqKyyYR6Q21VydFLVH3TRQUabQu_ym0Zz7PgGX0-kHA/edit?usp=sharing"",""แผน!T54"")"),1)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IFERROR(__xludf.DUMMYFUNCTION("IMPORTRANGE(""https://docs.google.com/spreadsheets/d/1MeEWN-I1oV_STSDYn1IFDPWt_1FKiwhDph83XaGc0o0/edit?usp=sharing"",""งบพรบ!BA54"")"),0)</f>
        <v>0</v>
      </c>
      <c r="M124" s="90">
        <f ca="1">IFERROR(__xludf.DUMMYFUNCTION("IMPORTRANGE(""https://docs.google.com/spreadsheets/d/1MeEWN-I1oV_STSDYn1IFDPWt_1FKiwhDph83XaGc0o0/edit?usp=sharing"",""งบพรบ!BF54"")"),0)</f>
        <v>0</v>
      </c>
      <c r="N124" s="90">
        <f ca="1">IFERROR(__xludf.DUMMYFUNCTION("IMPORTRANGE(""https://docs.google.com/spreadsheets/d/1MeEWN-I1oV_STSDYn1IFDPWt_1FKiwhDph83XaGc0o0/edit?usp=sharing"",""งบพรบ!BH54"")"),0)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IFERROR(__xludf.DUMMYFUNCTION("IMPORTRANGE(""https://docs.google.com/spreadsheets/d/1MeEWN-I1oV_STSDYn1IFDPWt_1FKiwhDph83XaGc0o0/edit?usp=sharing"",""งบพรบ!BD54"")"),0)</f>
        <v>0</v>
      </c>
      <c r="M127" s="90">
        <f ca="1">IFERROR(__xludf.DUMMYFUNCTION("IMPORTRANGE(""https://docs.google.com/spreadsheets/d/1MeEWN-I1oV_STSDYn1IFDPWt_1FKiwhDph83XaGc0o0/edit?usp=sharing"",""งบพรบ!BG54"")"),0)</f>
        <v>0</v>
      </c>
      <c r="N127" s="90">
        <f ca="1">IFERROR(__xludf.DUMMYFUNCTION("IMPORTRANGE(""https://docs.google.com/spreadsheets/d/1MeEWN-I1oV_STSDYn1IFDPWt_1FKiwhDph83XaGc0o0/edit?usp=sharing"",""งบพรบ!BI54"")"),0)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IFERROR(__xludf.DUMMYFUNCTION("IMPORTRANGE(""https://docs.google.com/spreadsheets/d/1MeEWN-I1oV_STSDYn1IFDPWt_1FKiwhDph83XaGc0o0/edit?usp=sharing"",""งบพรบ!BK54"")"),0)</f>
        <v>0</v>
      </c>
      <c r="M137" s="90">
        <f ca="1">IFERROR(__xludf.DUMMYFUNCTION("IMPORTRANGE(""https://docs.google.com/spreadsheets/d/1MeEWN-I1oV_STSDYn1IFDPWt_1FKiwhDph83XaGc0o0/edit?usp=sharing"",""งบพรบ!BP54"")"),0)</f>
        <v>0</v>
      </c>
      <c r="N137" s="90">
        <f ca="1">IFERROR(__xludf.DUMMYFUNCTION("IMPORTRANGE(""https://docs.google.com/spreadsheets/d/1MeEWN-I1oV_STSDYn1IFDPWt_1FKiwhDph83XaGc0o0/edit?usp=sharing"",""งบพรบ!BR54"")"),0)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IFERROR(__xludf.DUMMYFUNCTION("IMPORTRANGE(""https://docs.google.com/spreadsheets/d/1MeEWN-I1oV_STSDYn1IFDPWt_1FKiwhDph83XaGc0o0/edit?usp=sharing"",""งบพรบ!BN54"")"),0)</f>
        <v>0</v>
      </c>
      <c r="M140" s="90">
        <f ca="1">IFERROR(__xludf.DUMMYFUNCTION("IMPORTRANGE(""https://docs.google.com/spreadsheets/d/1MeEWN-I1oV_STSDYn1IFDPWt_1FKiwhDph83XaGc0o0/edit?usp=sharing"",""งบพรบ!BQ54"")"),0)</f>
        <v>0</v>
      </c>
      <c r="N140" s="90">
        <f ca="1">IFERROR(__xludf.DUMMYFUNCTION("IMPORTRANGE(""https://docs.google.com/spreadsheets/d/1MeEWN-I1oV_STSDYn1IFDPWt_1FKiwhDph83XaGc0o0/edit?usp=sharing"",""งบพรบ!BS54"")"),0)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IFERROR(__xludf.DUMMYFUNCTION("IMPORTRANGE(""https://docs.google.com/spreadsheets/d/1QqKyyYR6Q21VydFLVH3TRQUabQu_ym0Zz7PgGX0-kHA/edit?usp=sharing"",""แผน!U54"")"),0)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IFERROR(__xludf.DUMMYFUNCTION("IMPORTRANGE(""https://docs.google.com/spreadsheets/d/1QqKyyYR6Q21VydFLVH3TRQUabQu_ym0Zz7PgGX0-kHA/edit?usp=sharing"",""แผน!V54"")"),0)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IFERROR(__xludf.DUMMYFUNCTION("IMPORTRANGE(""https://docs.google.com/spreadsheets/d/1QqKyyYR6Q21VydFLVH3TRQUabQu_ym0Zz7PgGX0-kHA/edit?usp=sharing"",""แผน!W54"")"),0)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IFERROR(__xludf.DUMMYFUNCTION("IMPORTRANGE(""https://docs.google.com/spreadsheets/d/1MeEWN-I1oV_STSDYn1IFDPWt_1FKiwhDph83XaGc0o0/edit?usp=sharing"",""งบพรบ!BU54"")"),0)</f>
        <v>0</v>
      </c>
      <c r="M154" s="90">
        <f ca="1">IFERROR(__xludf.DUMMYFUNCTION("IMPORTRANGE(""https://docs.google.com/spreadsheets/d/1MeEWN-I1oV_STSDYn1IFDPWt_1FKiwhDph83XaGc0o0/edit?usp=sharing"",""งบพรบ!BZ54"")"),0)</f>
        <v>0</v>
      </c>
      <c r="N154" s="90">
        <f ca="1">IFERROR(__xludf.DUMMYFUNCTION("IMPORTRANGE(""https://docs.google.com/spreadsheets/d/1MeEWN-I1oV_STSDYn1IFDPWt_1FKiwhDph83XaGc0o0/edit?usp=sharing"",""งบพรบ!CB54"")"),0)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IFERROR(__xludf.DUMMYFUNCTION("IMPORTRANGE(""https://docs.google.com/spreadsheets/d/1MeEWN-I1oV_STSDYn1IFDPWt_1FKiwhDph83XaGc0o0/edit?usp=sharing"",""งบพรบ!BX54"")"),0)</f>
        <v>0</v>
      </c>
      <c r="M157" s="90">
        <f ca="1">IFERROR(__xludf.DUMMYFUNCTION("IMPORTRANGE(""https://docs.google.com/spreadsheets/d/1MeEWN-I1oV_STSDYn1IFDPWt_1FKiwhDph83XaGc0o0/edit?usp=sharing"",""งบพรบ!CA54"")"),0)</f>
        <v>0</v>
      </c>
      <c r="N157" s="90">
        <f ca="1">IFERROR(__xludf.DUMMYFUNCTION("IMPORTRANGE(""https://docs.google.com/spreadsheets/d/1MeEWN-I1oV_STSDYn1IFDPWt_1FKiwhDph83XaGc0o0/edit?usp=sharing"",""งบพรบ!CC54"")"),0)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IFERROR(__xludf.DUMMYFUNCTION("IMPORTRANGE(""https://docs.google.com/spreadsheets/d/1QqKyyYR6Q21VydFLVH3TRQUabQu_ym0Zz7PgGX0-kHA/edit?usp=sharing"",""แผน!X54"")"),0)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0</v>
      </c>
      <c r="O165" s="150">
        <f t="shared" ref="O165:O173" ca="1" si="85">IF(L165&gt;0,N165*100/L165,0)</f>
        <v>0</v>
      </c>
      <c r="P165" s="150">
        <f t="shared" ref="P165:P173" ca="1" si="86">IF(M165&gt;0,N165*100/M165,0)</f>
        <v>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0</v>
      </c>
      <c r="O167" s="90">
        <f t="shared" ca="1" si="85"/>
        <v>0</v>
      </c>
      <c r="P167" s="90">
        <f t="shared" ca="1" si="86"/>
        <v>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0</v>
      </c>
      <c r="O168" s="495">
        <f t="shared" ca="1" si="85"/>
        <v>0</v>
      </c>
      <c r="P168" s="495">
        <f t="shared" ca="1" si="86"/>
        <v>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IFERROR(__xludf.DUMMYFUNCTION("IMPORTRANGE(""https://docs.google.com/spreadsheets/d/1MeEWN-I1oV_STSDYn1IFDPWt_1FKiwhDph83XaGc0o0/edit?usp=sharing"",""งบพรบ!CE54"")"),21050)</f>
        <v>21050</v>
      </c>
      <c r="M170" s="90">
        <f ca="1">IFERROR(__xludf.DUMMYFUNCTION("IMPORTRANGE(""https://docs.google.com/spreadsheets/d/1MeEWN-I1oV_STSDYn1IFDPWt_1FKiwhDph83XaGc0o0/edit?usp=sharing"",""งบพรบ!CJ54"")"),21050)</f>
        <v>21050</v>
      </c>
      <c r="N170" s="90">
        <f ca="1">IFERROR(__xludf.DUMMYFUNCTION("IMPORTRANGE(""https://docs.google.com/spreadsheets/d/1MeEWN-I1oV_STSDYn1IFDPWt_1FKiwhDph83XaGc0o0/edit?usp=sharing"",""งบพรบ!CL54"")"),0)</f>
        <v>0</v>
      </c>
      <c r="O170" s="90">
        <f t="shared" ca="1" si="85"/>
        <v>0</v>
      </c>
      <c r="P170" s="90">
        <f t="shared" ca="1" si="86"/>
        <v>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IFERROR(__xludf.DUMMYFUNCTION("IMPORTRANGE(""https://docs.google.com/spreadsheets/d/1MeEWN-I1oV_STSDYn1IFDPWt_1FKiwhDph83XaGc0o0/edit?usp=sharing"",""งบพรบ!CH54"")"),0)</f>
        <v>0</v>
      </c>
      <c r="M173" s="90">
        <f ca="1">IFERROR(__xludf.DUMMYFUNCTION("IMPORTRANGE(""https://docs.google.com/spreadsheets/d/1MeEWN-I1oV_STSDYn1IFDPWt_1FKiwhDph83XaGc0o0/edit?usp=sharing"",""งบพรบ!CK54"")"),0)</f>
        <v>0</v>
      </c>
      <c r="N173" s="90">
        <f ca="1">IFERROR(__xludf.DUMMYFUNCTION("IMPORTRANGE(""https://docs.google.com/spreadsheets/d/1MeEWN-I1oV_STSDYn1IFDPWt_1FKiwhDph83XaGc0o0/edit?usp=sharing"",""งบพรบ!CM54"")"),0)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IFERROR(__xludf.DUMMYFUNCTION("IMPORTRANGE(""https://docs.google.com/spreadsheets/d/1QqKyyYR6Q21VydFLVH3TRQUabQu_ym0Zz7PgGX0-kHA/edit?usp=sharing"",""แผน!Y54"")"),10)</f>
        <v>10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142100</v>
      </c>
      <c r="M181" s="150">
        <f t="shared" ca="1" si="91"/>
        <v>77500</v>
      </c>
      <c r="N181" s="150">
        <f t="shared" ca="1" si="91"/>
        <v>22560</v>
      </c>
      <c r="O181" s="150">
        <f t="shared" ref="O181:O189" ca="1" si="92">IF(L181&gt;0,N181*100/L181,0)</f>
        <v>15.876143560872626</v>
      </c>
      <c r="P181" s="150">
        <f t="shared" ref="P181:P189" ca="1" si="93">IF(M181&gt;0,N181*100/M181,0)</f>
        <v>29.109677419354838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142100</v>
      </c>
      <c r="M183" s="90">
        <f t="shared" ca="1" si="94"/>
        <v>77500</v>
      </c>
      <c r="N183" s="90">
        <f t="shared" ca="1" si="94"/>
        <v>22560</v>
      </c>
      <c r="O183" s="90">
        <f t="shared" ca="1" si="92"/>
        <v>15.876143560872626</v>
      </c>
      <c r="P183" s="90">
        <f t="shared" ca="1" si="93"/>
        <v>29.109677419354838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142100</v>
      </c>
      <c r="M184" s="495">
        <f t="shared" ca="1" si="95"/>
        <v>77500</v>
      </c>
      <c r="N184" s="495">
        <f t="shared" ca="1" si="95"/>
        <v>22560</v>
      </c>
      <c r="O184" s="495">
        <f t="shared" ca="1" si="92"/>
        <v>15.876143560872626</v>
      </c>
      <c r="P184" s="495">
        <f t="shared" ca="1" si="93"/>
        <v>29.109677419354838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IFERROR(__xludf.DUMMYFUNCTION("IMPORTRANGE(""https://docs.google.com/spreadsheets/d/1MeEWN-I1oV_STSDYn1IFDPWt_1FKiwhDph83XaGc0o0/edit?usp=sharing"",""งบพรบ!CO54"")"),142100)</f>
        <v>142100</v>
      </c>
      <c r="M186" s="90">
        <f ca="1">IFERROR(__xludf.DUMMYFUNCTION("IMPORTRANGE(""https://docs.google.com/spreadsheets/d/1MeEWN-I1oV_STSDYn1IFDPWt_1FKiwhDph83XaGc0o0/edit?usp=sharing"",""งบพรบ!CT54"")"),77500)</f>
        <v>77500</v>
      </c>
      <c r="N186" s="90">
        <f ca="1">IFERROR(__xludf.DUMMYFUNCTION("IMPORTRANGE(""https://docs.google.com/spreadsheets/d/1MeEWN-I1oV_STSDYn1IFDPWt_1FKiwhDph83XaGc0o0/edit?usp=sharing"",""งบพรบ!CV54"")"),22560)</f>
        <v>22560</v>
      </c>
      <c r="O186" s="90">
        <f t="shared" ca="1" si="92"/>
        <v>15.876143560872626</v>
      </c>
      <c r="P186" s="90">
        <f t="shared" ca="1" si="93"/>
        <v>29.109677419354838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IFERROR(__xludf.DUMMYFUNCTION("IMPORTRANGE(""https://docs.google.com/spreadsheets/d/1MeEWN-I1oV_STSDYn1IFDPWt_1FKiwhDph83XaGc0o0/edit?usp=sharing"",""งบพรบ!CR54"")"),0)</f>
        <v>0</v>
      </c>
      <c r="M189" s="90">
        <f ca="1">IFERROR(__xludf.DUMMYFUNCTION("IMPORTRANGE(""https://docs.google.com/spreadsheets/d/1MeEWN-I1oV_STSDYn1IFDPWt_1FKiwhDph83XaGc0o0/edit?usp=sharing"",""งบพรบ!CU54"")"),0)</f>
        <v>0</v>
      </c>
      <c r="N189" s="90">
        <f ca="1">IFERROR(__xludf.DUMMYFUNCTION("IMPORTRANGE(""https://docs.google.com/spreadsheets/d/1MeEWN-I1oV_STSDYn1IFDPWt_1FKiwhDph83XaGc0o0/edit?usp=sharing"",""งบพรบ!CW54"")"),0)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IFERROR(__xludf.DUMMYFUNCTION("IMPORTRANGE(""https://docs.google.com/spreadsheets/d/1QqKyyYR6Q21VydFLVH3TRQUabQu_ym0Zz7PgGX0-kHA/edit?usp=sharing"",""แผน!Z54"")"),6000)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IFERROR(__xludf.DUMMYFUNCTION("IMPORTRANGE(""https://docs.google.com/spreadsheets/d/1QqKyyYR6Q21VydFLVH3TRQUabQu_ym0Zz7PgGX0-kHA/edit?usp=sharing"",""แผน!AC54"")"),4)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2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26000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IFERROR(__xludf.DUMMYFUNCTION("IMPORTRANGE(""https://docs.google.com/spreadsheets/d/1QqKyyYR6Q21VydFLVH3TRQUabQu_ym0Zz7PgGX0-kHA/edit?usp=sharing"",""แผน!AE54"")"),2000)</f>
        <v>2000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IFERROR(__xludf.DUMMYFUNCTION("IMPORTRANGE(""https://docs.google.com/spreadsheets/d/1QqKyyYR6Q21VydFLVH3TRQUabQu_ym0Zz7PgGX0-kHA/edit?usp=sharing"",""แผน!AF54"")"),16000)</f>
        <v>16000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IFERROR(__xludf.DUMMYFUNCTION("IMPORTRANGE(""https://docs.google.com/spreadsheets/d/1QqKyyYR6Q21VydFLVH3TRQUabQu_ym0Zz7PgGX0-kHA/edit?usp=sharing"",""แผน!AG54"")"),8000)</f>
        <v>8000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IFERROR(__xludf.DUMMYFUNCTION("IMPORTRANGE(""https://docs.google.com/spreadsheets/d/1QqKyyYR6Q21VydFLVH3TRQUabQu_ym0Zz7PgGX0-kHA/edit?usp=sharing"",""แผน!AH54"")"),0)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IFERROR(__xludf.DUMMYFUNCTION("IMPORTRANGE(""https://docs.google.com/spreadsheets/d/1QqKyyYR6Q21VydFLVH3TRQUabQu_ym0Zz7PgGX0-kHA/edit?usp=sharing"",""แผน!AI54"")"),2)</f>
        <v>2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2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1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14000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IFERROR(__xludf.DUMMYFUNCTION("IMPORTRANGE(""https://docs.google.com/spreadsheets/d/1QqKyyYR6Q21VydFLVH3TRQUabQu_ym0Zz7PgGX0-kHA/edit?usp=sharing"",""แผน!AK54"")"),1000)</f>
        <v>1000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IFERROR(__xludf.DUMMYFUNCTION("IMPORTRANGE(""https://docs.google.com/spreadsheets/d/1QqKyyYR6Q21VydFLVH3TRQUabQu_ym0Zz7PgGX0-kHA/edit?usp=sharing"",""แผน!AL54"")"),5000)</f>
        <v>5000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IFERROR(__xludf.DUMMYFUNCTION("IMPORTRANGE(""https://docs.google.com/spreadsheets/d/1QqKyyYR6Q21VydFLVH3TRQUabQu_ym0Zz7PgGX0-kHA/edit?usp=sharing"",""แผน!AM54"")"),8000)</f>
        <v>8000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IFERROR(__xludf.DUMMYFUNCTION("IMPORTRANGE(""https://docs.google.com/spreadsheets/d/1QqKyyYR6Q21VydFLVH3TRQUabQu_ym0Zz7PgGX0-kHA/edit?usp=sharing"",""แผน!AN54"")"),1)</f>
        <v>1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IFERROR(__xludf.DUMMYFUNCTION("IMPORTRANGE(""https://docs.google.com/spreadsheets/d/1QqKyyYR6Q21VydFLVH3TRQUabQu_ym0Zz7PgGX0-kHA/edit?usp=sharing"",""แผน!AN54"")"),1)</f>
        <v>1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12800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7100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IFERROR(__xludf.DUMMYFUNCTION("IMPORTRANGE(""https://docs.google.com/spreadsheets/d/1QqKyyYR6Q21VydFLVH3TRQUabQu_ym0Zz7PgGX0-kHA/edit?usp=sharing"",""แผน!AP54"")"),3000)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IFERROR(__xludf.DUMMYFUNCTION("IMPORTRANGE(""https://docs.google.com/spreadsheets/d/1QqKyyYR6Q21VydFLVH3TRQUabQu_ym0Zz7PgGX0-kHA/edit?usp=sharing"",""แผน!AQ54"")"),4100)</f>
        <v>4100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IFERROR(__xludf.DUMMYFUNCTION("IMPORTRANGE(""https://docs.google.com/spreadsheets/d/1QqKyyYR6Q21VydFLVH3TRQUabQu_ym0Zz7PgGX0-kHA/edit?usp=sharing"",""แผน!AR54"")"),0)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IFERROR(__xludf.DUMMYFUNCTION("IMPORTRANGE(""https://docs.google.com/spreadsheets/d/1QqKyyYR6Q21VydFLVH3TRQUabQu_ym0Zz7PgGX0-kHA/edit?usp=sharing"",""แผน!AT54"")"),12800)</f>
        <v>12800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IFERROR(__xludf.DUMMYFUNCTION("IMPORTRANGE(""https://docs.google.com/spreadsheets/d/1QqKyyYR6Q21VydFLVH3TRQUabQu_ym0Zz7PgGX0-kHA/edit?usp=sharing"",""แผน!AT54"")"),12800)</f>
        <v>12800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IFERROR(__xludf.DUMMYFUNCTION("IMPORTRANGE(""https://docs.google.com/spreadsheets/d/1QqKyyYR6Q21VydFLVH3TRQUabQu_ym0Zz7PgGX0-kHA/edit?usp=sharing"",""แผน!AS54"")"),0)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>
        <f t="shared" ref="I226:J226" ca="1" si="104">I237+I248</f>
        <v>20</v>
      </c>
      <c r="J226" s="340">
        <f t="shared" si="104"/>
        <v>0</v>
      </c>
      <c r="K226" s="341">
        <f t="shared" ca="1" si="103"/>
        <v>0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89000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20000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39000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20000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10000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>
        <f t="shared" ref="I233:J233" ca="1" si="107">I244+I255</f>
        <v>20</v>
      </c>
      <c r="J233" s="609">
        <f t="shared" si="107"/>
        <v>0</v>
      </c>
      <c r="K233" s="90">
        <f ca="1">IF(I233&gt;0,J233*100/I233,0)</f>
        <v>0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20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1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20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89000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IFERROR(__xludf.DUMMYFUNCTION("IMPORTRANGE(""https://docs.google.com/spreadsheets/d/1QqKyyYR6Q21VydFLVH3TRQUabQu_ym0Zz7PgGX0-kHA/edit?usp=sharing"",""แผน!AV54"")"),20000)</f>
        <v>20000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IFERROR(__xludf.DUMMYFUNCTION("IMPORTRANGE(""https://docs.google.com/spreadsheets/d/1QqKyyYR6Q21VydFLVH3TRQUabQu_ym0Zz7PgGX0-kHA/edit?usp=sharing"",""แผน!AW54"")"),39000)</f>
        <v>39000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IFERROR(__xludf.DUMMYFUNCTION("IMPORTRANGE(""https://docs.google.com/spreadsheets/d/1QqKyyYR6Q21VydFLVH3TRQUabQu_ym0Zz7PgGX0-kHA/edit?usp=sharing"",""แผน!AX54"")"),20000)</f>
        <v>20000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IFERROR(__xludf.DUMMYFUNCTION("IMPORTRANGE(""https://docs.google.com/spreadsheets/d/1QqKyyYR6Q21VydFLVH3TRQUabQu_ym0Zz7PgGX0-kHA/edit?usp=sharing"",""แผน!AY54"")"),10000)</f>
        <v>10000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IFERROR(__xludf.DUMMYFUNCTION("IMPORTRANGE(""https://docs.google.com/spreadsheets/d/1QqKyyYR6Q21VydFLVH3TRQUabQu_ym0Zz7PgGX0-kHA/edit?usp=sharing"",""แผน!BE54"")"),20)</f>
        <v>20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20</v>
      </c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>
        <f t="shared" ref="I248:J248" ca="1" si="112">I255</f>
        <v>0</v>
      </c>
      <c r="J248" s="266">
        <f t="shared" si="112"/>
        <v>0</v>
      </c>
      <c r="K248" s="267">
        <f t="shared" ca="1" si="111"/>
        <v>0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IFERROR(__xludf.DUMMYFUNCTION("IMPORTRANGE(""https://docs.google.com/spreadsheets/d/1QqKyyYR6Q21VydFLVH3TRQUabQu_ym0Zz7PgGX0-kHA/edit?usp=sharing"",""แผน!AZ54"")"),0)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IFERROR(__xludf.DUMMYFUNCTION("IMPORTRANGE(""https://docs.google.com/spreadsheets/d/1QqKyyYR6Q21VydFLVH3TRQUabQu_ym0Zz7PgGX0-kHA/edit?usp=sharing"",""แผน!BA54"")"),0)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IFERROR(__xludf.DUMMYFUNCTION("IMPORTRANGE(""https://docs.google.com/spreadsheets/d/1QqKyyYR6Q21VydFLVH3TRQUabQu_ym0Zz7PgGX0-kHA/edit?usp=sharing"",""แผน!BB54"")"),0)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IFERROR(__xludf.DUMMYFUNCTION("IMPORTRANGE(""https://docs.google.com/spreadsheets/d/1QqKyyYR6Q21VydFLVH3TRQUabQu_ym0Zz7PgGX0-kHA/edit?usp=sharing"",""แผน!BC54"")"),0)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>
        <f ca="1">IFERROR(__xludf.DUMMYFUNCTION("IMPORTRANGE(""https://docs.google.com/spreadsheets/d/1QqKyyYR6Q21VydFLVH3TRQUabQu_ym0Zz7PgGX0-kHA/edit?usp=sharing"",""แผน!BF54"")"),0)</f>
        <v>0</v>
      </c>
      <c r="J255" s="210">
        <v>0</v>
      </c>
      <c r="K255" s="495">
        <f ca="1">IF(I255&gt;0,J255*100/I255,0)</f>
        <v>0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IFERROR(__xludf.DUMMYFUNCTION("IMPORTRANGE(""https://docs.google.com/spreadsheets/d/1MeEWN-I1oV_STSDYn1IFDPWt_1FKiwhDph83XaGc0o0/edit?usp=sharing"",""งบพรบ!CY54"")"),26900)</f>
        <v>26900</v>
      </c>
      <c r="M266" s="90">
        <f ca="1">IFERROR(__xludf.DUMMYFUNCTION("IMPORTRANGE(""https://docs.google.com/spreadsheets/d/1MeEWN-I1oV_STSDYn1IFDPWt_1FKiwhDph83XaGc0o0/edit?usp=sharing"",""งบพรบ!DD54"")"),0)</f>
        <v>0</v>
      </c>
      <c r="N266" s="90">
        <f ca="1">IFERROR(__xludf.DUMMYFUNCTION("IMPORTRANGE(""https://docs.google.com/spreadsheets/d/1MeEWN-I1oV_STSDYn1IFDPWt_1FKiwhDph83XaGc0o0/edit?usp=sharing"",""งบพรบ!DF54"")"),0)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IFERROR(__xludf.DUMMYFUNCTION("IMPORTRANGE(""https://docs.google.com/spreadsheets/d/1MeEWN-I1oV_STSDYn1IFDPWt_1FKiwhDph83XaGc0o0/edit?usp=sharing"",""งบพรบ!DB54"")"),0)</f>
        <v>0</v>
      </c>
      <c r="M269" s="90">
        <f ca="1">IFERROR(__xludf.DUMMYFUNCTION("IMPORTRANGE(""https://docs.google.com/spreadsheets/d/1MeEWN-I1oV_STSDYn1IFDPWt_1FKiwhDph83XaGc0o0/edit?usp=sharing"",""งบพรบ!DE54"")"),0)</f>
        <v>0</v>
      </c>
      <c r="N269" s="90">
        <f ca="1">IFERROR(__xludf.DUMMYFUNCTION("IMPORTRANGE(""https://docs.google.com/spreadsheets/d/1MeEWN-I1oV_STSDYn1IFDPWt_1FKiwhDph83XaGc0o0/edit?usp=sharing"",""งบพรบ!DG54"")"),0)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IFERROR(__xludf.DUMMYFUNCTION("IMPORTRANGE(""https://docs.google.com/spreadsheets/d/1QqKyyYR6Q21VydFLVH3TRQUabQu_ym0Zz7PgGX0-kHA/edit?usp=sharing"",""แผน!EA54"")"),22)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0</v>
      </c>
      <c r="M277" s="151">
        <f t="shared" ca="1" si="124"/>
        <v>0</v>
      </c>
      <c r="N277" s="151">
        <f t="shared" ca="1" si="124"/>
        <v>0</v>
      </c>
      <c r="O277" s="151">
        <f t="shared" ref="O277:O285" ca="1" si="125">IF(L277&gt;0,N277*100/L277,0)</f>
        <v>0</v>
      </c>
      <c r="P277" s="151">
        <f t="shared" ref="P277:P285" ca="1" si="126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0</v>
      </c>
      <c r="M279" s="90">
        <f t="shared" ca="1" si="127"/>
        <v>0</v>
      </c>
      <c r="N279" s="90">
        <f t="shared" ca="1" si="127"/>
        <v>0</v>
      </c>
      <c r="O279" s="90">
        <f t="shared" ca="1" si="125"/>
        <v>0</v>
      </c>
      <c r="P279" s="90">
        <f t="shared" ca="1" si="126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0</v>
      </c>
      <c r="M280" s="495">
        <f t="shared" ca="1" si="128"/>
        <v>0</v>
      </c>
      <c r="N280" s="495">
        <f t="shared" ca="1" si="128"/>
        <v>0</v>
      </c>
      <c r="O280" s="495">
        <f t="shared" ca="1" si="125"/>
        <v>0</v>
      </c>
      <c r="P280" s="495">
        <f t="shared" ca="1" si="126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IFERROR(__xludf.DUMMYFUNCTION("IMPORTRANGE(""https://docs.google.com/spreadsheets/d/1MeEWN-I1oV_STSDYn1IFDPWt_1FKiwhDph83XaGc0o0/edit?usp=sharing"",""งบพรบ!DI54"")"),0)</f>
        <v>0</v>
      </c>
      <c r="M282" s="90">
        <f ca="1">IFERROR(__xludf.DUMMYFUNCTION("IMPORTRANGE(""https://docs.google.com/spreadsheets/d/1MeEWN-I1oV_STSDYn1IFDPWt_1FKiwhDph83XaGc0o0/edit?usp=sharing"",""งบพรบ!DN54"")"),0)</f>
        <v>0</v>
      </c>
      <c r="N282" s="90">
        <f ca="1">IFERROR(__xludf.DUMMYFUNCTION("IMPORTRANGE(""https://docs.google.com/spreadsheets/d/1MeEWN-I1oV_STSDYn1IFDPWt_1FKiwhDph83XaGc0o0/edit?usp=sharing"",""งบพรบ!DP54"")"),0)</f>
        <v>0</v>
      </c>
      <c r="O282" s="90">
        <f t="shared" ca="1" si="125"/>
        <v>0</v>
      </c>
      <c r="P282" s="90">
        <f t="shared" ca="1" si="126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IFERROR(__xludf.DUMMYFUNCTION("IMPORTRANGE(""https://docs.google.com/spreadsheets/d/1MeEWN-I1oV_STSDYn1IFDPWt_1FKiwhDph83XaGc0o0/edit?usp=sharing"",""งบพรบ!DL54"")"),0)</f>
        <v>0</v>
      </c>
      <c r="M285" s="90">
        <f ca="1">IFERROR(__xludf.DUMMYFUNCTION("IMPORTRANGE(""https://docs.google.com/spreadsheets/d/1MeEWN-I1oV_STSDYn1IFDPWt_1FKiwhDph83XaGc0o0/edit?usp=sharing"",""งบพรบ!DO54"")"),0)</f>
        <v>0</v>
      </c>
      <c r="N285" s="90">
        <f ca="1">IFERROR(__xludf.DUMMYFUNCTION("IMPORTRANGE(""https://docs.google.com/spreadsheets/d/1MeEWN-I1oV_STSDYn1IFDPWt_1FKiwhDph83XaGc0o0/edit?usp=sharing"",""งบพรบ!DQ54"")"),0)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IFERROR(__xludf.DUMMYFUNCTION("IMPORTRANGE(""https://docs.google.com/spreadsheets/d/1QqKyyYR6Q21VydFLVH3TRQUabQu_ym0Zz7PgGX0-kHA/edit?usp=sharing"",""แผน!EC54"")"),0)</f>
        <v>0</v>
      </c>
      <c r="J287" s="264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IFERROR(__xludf.DUMMYFUNCTION("IMPORTRANGE(""https://docs.google.com/spreadsheets/d/1QqKyyYR6Q21VydFLVH3TRQUabQu_ym0Zz7PgGX0-kHA/edit?usp=sharing"",""แผน!EB54"")"),0)</f>
        <v>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IFERROR(__xludf.DUMMYFUNCTION("IMPORTRANGE(""https://docs.google.com/spreadsheets/d/1QqKyyYR6Q21VydFLVH3TRQUabQu_ym0Zz7PgGX0-kHA/edit?usp=sharing"",""แผน!EB54"")"),0)</f>
        <v>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IFERROR(__xludf.DUMMYFUNCTION("IMPORTRANGE(""https://docs.google.com/spreadsheets/d/1QqKyyYR6Q21VydFLVH3TRQUabQu_ym0Zz7PgGX0-kHA/edit?usp=sharing"",""แผน!EB54"")"),0)</f>
        <v>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IFERROR(__xludf.DUMMYFUNCTION("IMPORTRANGE(""https://docs.google.com/spreadsheets/d/1QqKyyYR6Q21VydFLVH3TRQUabQu_ym0Zz7PgGX0-kHA/edit?usp=sharing"",""แผน!EB54"")"),0)</f>
        <v>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IFERROR(__xludf.DUMMYFUNCTION("IMPORTRANGE(""https://docs.google.com/spreadsheets/d/1QqKyyYR6Q21VydFLVH3TRQUabQu_ym0Zz7PgGX0-kHA/edit?usp=sharing"",""แผน!EB54"")"),0)</f>
        <v>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 hidden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 hidden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0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 hidden="1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0</v>
      </c>
      <c r="M298" s="151">
        <f t="shared" ca="1" si="134"/>
        <v>0</v>
      </c>
      <c r="N298" s="151">
        <f t="shared" ca="1" si="134"/>
        <v>0</v>
      </c>
      <c r="O298" s="151">
        <f t="shared" ref="O298:O306" ca="1" si="135">IF(L298&gt;0,N298*100/L298,0)</f>
        <v>0</v>
      </c>
      <c r="P298" s="151">
        <f t="shared" ref="P298:P306" ca="1" si="136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0</v>
      </c>
      <c r="M300" s="90">
        <f t="shared" ca="1" si="137"/>
        <v>0</v>
      </c>
      <c r="N300" s="90">
        <f t="shared" ca="1" si="137"/>
        <v>0</v>
      </c>
      <c r="O300" s="90">
        <f t="shared" ca="1" si="135"/>
        <v>0</v>
      </c>
      <c r="P300" s="90">
        <f t="shared" ca="1" si="136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0</v>
      </c>
      <c r="M301" s="495">
        <f t="shared" ca="1" si="138"/>
        <v>0</v>
      </c>
      <c r="N301" s="495">
        <f t="shared" ca="1" si="138"/>
        <v>0</v>
      </c>
      <c r="O301" s="495">
        <f t="shared" ca="1" si="135"/>
        <v>0</v>
      </c>
      <c r="P301" s="495">
        <f t="shared" ca="1" si="136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IFERROR(__xludf.DUMMYFUNCTION("IMPORTRANGE(""https://docs.google.com/spreadsheets/d/1MeEWN-I1oV_STSDYn1IFDPWt_1FKiwhDph83XaGc0o0/edit?usp=sharing"",""งบพรบ!DS54"")"),0)</f>
        <v>0</v>
      </c>
      <c r="M303" s="90">
        <f ca="1">IFERROR(__xludf.DUMMYFUNCTION("IMPORTRANGE(""https://docs.google.com/spreadsheets/d/1MeEWN-I1oV_STSDYn1IFDPWt_1FKiwhDph83XaGc0o0/edit?usp=sharing"",""งบพรบ!DX54"")"),0)</f>
        <v>0</v>
      </c>
      <c r="N303" s="90">
        <f ca="1">IFERROR(__xludf.DUMMYFUNCTION("IMPORTRANGE(""https://docs.google.com/spreadsheets/d/1MeEWN-I1oV_STSDYn1IFDPWt_1FKiwhDph83XaGc0o0/edit?usp=sharing"",""งบพรบ!DZ54"")"),0)</f>
        <v>0</v>
      </c>
      <c r="O303" s="90">
        <f t="shared" ca="1" si="135"/>
        <v>0</v>
      </c>
      <c r="P303" s="90">
        <f t="shared" ca="1" si="136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IFERROR(__xludf.DUMMYFUNCTION("IMPORTRANGE(""https://docs.google.com/spreadsheets/d/1MeEWN-I1oV_STSDYn1IFDPWt_1FKiwhDph83XaGc0o0/edit?usp=sharing"",""งบพรบ!DV54"")"),0)</f>
        <v>0</v>
      </c>
      <c r="M306" s="90">
        <f ca="1">IFERROR(__xludf.DUMMYFUNCTION("IMPORTRANGE(""https://docs.google.com/spreadsheets/d/1MeEWN-I1oV_STSDYn1IFDPWt_1FKiwhDph83XaGc0o0/edit?usp=sharing"",""งบพรบ!DY54"")"),0)</f>
        <v>0</v>
      </c>
      <c r="N306" s="90">
        <f ca="1">IFERROR(__xludf.DUMMYFUNCTION("IMPORTRANGE(""https://docs.google.com/spreadsheets/d/1MeEWN-I1oV_STSDYn1IFDPWt_1FKiwhDph83XaGc0o0/edit?usp=sharing"",""งบพรบ!EA54"")"),0)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 hidden="1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 hidden="1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IFERROR(__xludf.DUMMYFUNCTION("IMPORTRANGE(""https://docs.google.com/spreadsheets/d/1QqKyyYR6Q21VydFLVH3TRQUabQu_ym0Zz7PgGX0-kHA/edit?usp=sharing"",""แผน!ED54"")"),0)</f>
        <v>0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 hidden="1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IFERROR(__xludf.DUMMYFUNCTION("IMPORTRANGE(""https://docs.google.com/spreadsheets/d/1QqKyyYR6Q21VydFLVH3TRQUabQu_ym0Zz7PgGX0-kHA/edit?usp=sharing"",""แผน!ED54"")"),0)</f>
        <v>0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 hidden="1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IFERROR(__xludf.DUMMYFUNCTION("IMPORTRANGE(""https://docs.google.com/spreadsheets/d/1QqKyyYR6Q21VydFLVH3TRQUabQu_ym0Zz7PgGX0-kHA/edit?usp=sharing"",""แผน!ED54"")"),0)</f>
        <v>0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 hidden="1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IFERROR(__xludf.DUMMYFUNCTION("IMPORTRANGE(""https://docs.google.com/spreadsheets/d/1QqKyyYR6Q21VydFLVH3TRQUabQu_ym0Zz7PgGX0-kHA/edit?usp=sharing"",""แผน!EE54"")"),0)</f>
        <v>0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IFERROR(__xludf.DUMMYFUNCTION("IMPORTRANGE(""https://docs.google.com/spreadsheets/d/1MeEWN-I1oV_STSDYn1IFDPWt_1FKiwhDph83XaGc0o0/edit?usp=sharing"",""งบพรบ!EC54"")"),0)</f>
        <v>0</v>
      </c>
      <c r="M320" s="90">
        <f ca="1">IFERROR(__xludf.DUMMYFUNCTION("IMPORTRANGE(""https://docs.google.com/spreadsheets/d/1MeEWN-I1oV_STSDYn1IFDPWt_1FKiwhDph83XaGc0o0/edit?usp=sharing"",""งบพรบ!EH54"")"),0)</f>
        <v>0</v>
      </c>
      <c r="N320" s="90">
        <f ca="1">IFERROR(__xludf.DUMMYFUNCTION("IMPORTRANGE(""https://docs.google.com/spreadsheets/d/1MeEWN-I1oV_STSDYn1IFDPWt_1FKiwhDph83XaGc0o0/edit?usp=sharing"",""งบพรบ!EJ54"")"),0)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IFERROR(__xludf.DUMMYFUNCTION("IMPORTRANGE(""https://docs.google.com/spreadsheets/d/1MeEWN-I1oV_STSDYn1IFDPWt_1FKiwhDph83XaGc0o0/edit?usp=sharing"",""งบพรบ!EF54"")"),0)</f>
        <v>0</v>
      </c>
      <c r="M323" s="90">
        <f ca="1">IFERROR(__xludf.DUMMYFUNCTION("IMPORTRANGE(""https://docs.google.com/spreadsheets/d/1MeEWN-I1oV_STSDYn1IFDPWt_1FKiwhDph83XaGc0o0/edit?usp=sharing"",""งบพรบ!EI54"")"),0)</f>
        <v>0</v>
      </c>
      <c r="N323" s="90">
        <f ca="1">IFERROR(__xludf.DUMMYFUNCTION("IMPORTRANGE(""https://docs.google.com/spreadsheets/d/1MeEWN-I1oV_STSDYn1IFDPWt_1FKiwhDph83XaGc0o0/edit?usp=sharing"",""งบพรบ!EK54"")"),0)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IFERROR(__xludf.DUMMYFUNCTION("IMPORTRANGE(""https://docs.google.com/spreadsheets/d/1QqKyyYR6Q21VydFLVH3TRQUabQu_ym0Zz7PgGX0-kHA/edit?usp=sharing"",""แผน!EF54"")"),0)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IFERROR(__xludf.DUMMYFUNCTION("IMPORTRANGE(""https://docs.google.com/spreadsheets/d/1QqKyyYR6Q21VydFLVH3TRQUabQu_ym0Zz7PgGX0-kHA/edit?usp=sharing"",""แผน!EG54"")"),1600)</f>
        <v>1600</v>
      </c>
      <c r="J327" s="442">
        <f ca="1">J338+J341+J342+J343</f>
        <v>317</v>
      </c>
      <c r="K327" s="443">
        <f ca="1">IF(I327&gt;0,J327*100/I327,0)</f>
        <v>19.8125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170000</v>
      </c>
      <c r="M328" s="151">
        <f t="shared" ca="1" si="148"/>
        <v>85000</v>
      </c>
      <c r="N328" s="151">
        <f t="shared" ca="1" si="148"/>
        <v>15540</v>
      </c>
      <c r="O328" s="151">
        <f t="shared" ref="O328:O336" ca="1" si="149">IF(L328&gt;0,N328*100/L328,0)</f>
        <v>9.1411764705882348</v>
      </c>
      <c r="P328" s="151">
        <f t="shared" ref="P328:P336" ca="1" si="150">IF(M328&gt;0,N328*100/M328,0)</f>
        <v>18.28235294117647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170000</v>
      </c>
      <c r="M330" s="90">
        <f t="shared" ca="1" si="151"/>
        <v>85000</v>
      </c>
      <c r="N330" s="90">
        <f t="shared" ca="1" si="151"/>
        <v>15540</v>
      </c>
      <c r="O330" s="90">
        <f t="shared" ca="1" si="149"/>
        <v>9.1411764705882348</v>
      </c>
      <c r="P330" s="90">
        <f t="shared" ca="1" si="150"/>
        <v>18.28235294117647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170000</v>
      </c>
      <c r="M331" s="495">
        <f t="shared" ca="1" si="152"/>
        <v>85000</v>
      </c>
      <c r="N331" s="495">
        <f t="shared" ca="1" si="152"/>
        <v>15540</v>
      </c>
      <c r="O331" s="495">
        <f t="shared" ca="1" si="149"/>
        <v>9.1411764705882348</v>
      </c>
      <c r="P331" s="495">
        <f t="shared" ca="1" si="150"/>
        <v>18.28235294117647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IFERROR(__xludf.DUMMYFUNCTION("IMPORTRANGE(""https://docs.google.com/spreadsheets/d/1MeEWN-I1oV_STSDYn1IFDPWt_1FKiwhDph83XaGc0o0/edit?usp=sharing"",""งบพรบ!EM54"")"),170000)</f>
        <v>170000</v>
      </c>
      <c r="M333" s="90">
        <f ca="1">IFERROR(__xludf.DUMMYFUNCTION("IMPORTRANGE(""https://docs.google.com/spreadsheets/d/1MeEWN-I1oV_STSDYn1IFDPWt_1FKiwhDph83XaGc0o0/edit?usp=sharing"",""งบพรบ!ER54"")"),85000)</f>
        <v>85000</v>
      </c>
      <c r="N333" s="90">
        <f ca="1">IFERROR(__xludf.DUMMYFUNCTION("IMPORTRANGE(""https://docs.google.com/spreadsheets/d/1MeEWN-I1oV_STSDYn1IFDPWt_1FKiwhDph83XaGc0o0/edit?usp=sharing"",""งบพรบ!ET54"")"),15540)</f>
        <v>15540</v>
      </c>
      <c r="O333" s="90">
        <f t="shared" ca="1" si="149"/>
        <v>9.1411764705882348</v>
      </c>
      <c r="P333" s="90">
        <f t="shared" ca="1" si="150"/>
        <v>18.28235294117647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IFERROR(__xludf.DUMMYFUNCTION("IMPORTRANGE(""https://docs.google.com/spreadsheets/d/1MeEWN-I1oV_STSDYn1IFDPWt_1FKiwhDph83XaGc0o0/edit?usp=sharing"",""งบพรบ!EP54"")"),0)</f>
        <v>0</v>
      </c>
      <c r="M336" s="90">
        <f ca="1">IFERROR(__xludf.DUMMYFUNCTION("IMPORTRANGE(""https://docs.google.com/spreadsheets/d/1MeEWN-I1oV_STSDYn1IFDPWt_1FKiwhDph83XaGc0o0/edit?usp=sharing"",""งบพรบ!ES54"")"),0)</f>
        <v>0</v>
      </c>
      <c r="N336" s="90">
        <f ca="1">IFERROR(__xludf.DUMMYFUNCTION("IMPORTRANGE(""https://docs.google.com/spreadsheets/d/1MeEWN-I1oV_STSDYn1IFDPWt_1FKiwhDph83XaGc0o0/edit?usp=sharing"",""งบพรบ!EU54"")"),0)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IFERROR(__xludf.DUMMYFUNCTION("IMPORTRANGE(""https://docs.google.com/spreadsheets/d/1QqKyyYR6Q21VydFLVH3TRQUabQu_ym0Zz7PgGX0-kHA/edit?usp=sharing"",""แผน!EG54"")"),1600)</f>
        <v>1600</v>
      </c>
      <c r="J338" s="264">
        <f ca="1">IFERROR(__xludf.DUMMYFUNCTION("IMPORTRANGE(""https://docs.google.com/spreadsheets/d/1kVcqe37tkHyjCSG3S0O1AXqVkqjo8mSIZil3BcpIysc/edit?usp=sharing"",""ศูนย์!D54"")"),317)</f>
        <v>317</v>
      </c>
      <c r="K338" s="495">
        <f ca="1">IF(I338&gt;0,J338*100/I338,0)</f>
        <v>19.8125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IFERROR(__xludf.DUMMYFUNCTION("IMPORTRANGE(""https://docs.google.com/spreadsheets/d/1QqKyyYR6Q21VydFLVH3TRQUabQu_ym0Zz7PgGX0-kHA/edit?usp=sharing"",""แผน!EH54"")"),6)</f>
        <v>6</v>
      </c>
      <c r="J340" s="264">
        <f ca="1">IFERROR(__xludf.DUMMYFUNCTION("IMPORTRANGE(""https://docs.google.com/spreadsheets/d/1kVcqe37tkHyjCSG3S0O1AXqVkqjo8mSIZil3BcpIysc/edit?usp=sharing"",""ศูนย์!E54"")"),0)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IFERROR(__xludf.DUMMYFUNCTION("IMPORTRANGE(""https://docs.google.com/spreadsheets/d/1kVcqe37tkHyjCSG3S0O1AXqVkqjo8mSIZil3BcpIysc/edit?usp=sharing"",""ศูนย์!F54"")"),0)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IFERROR(__xludf.DUMMYFUNCTION("IMPORTRANGE(""https://docs.google.com/spreadsheets/d/1kVcqe37tkHyjCSG3S0O1AXqVkqjo8mSIZil3BcpIysc/edit?usp=sharing"",""ศูนย์!G54"")"),0)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IFERROR(__xludf.DUMMYFUNCTION("IMPORTRANGE(""https://docs.google.com/spreadsheets/d/1kVcqe37tkHyjCSG3S0O1AXqVkqjo8mSIZil3BcpIysc/edit?usp=sharing"",""ศูนย์!H54"")"),0)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979550</v>
      </c>
      <c r="M345" s="151">
        <f t="shared" ca="1" si="154"/>
        <v>571880</v>
      </c>
      <c r="N345" s="151">
        <f t="shared" ca="1" si="154"/>
        <v>246154</v>
      </c>
      <c r="O345" s="151">
        <f t="shared" ref="O345:O353" ca="1" si="155">IF(L345&gt;0,N345*100/L345,0)</f>
        <v>25.129294063600632</v>
      </c>
      <c r="P345" s="151">
        <f t="shared" ref="P345:P353" ca="1" si="156">IF(M345&gt;0,N345*100/M345,0)</f>
        <v>43.042946072602646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979550</v>
      </c>
      <c r="M347" s="90">
        <f t="shared" ca="1" si="157"/>
        <v>571880</v>
      </c>
      <c r="N347" s="90">
        <f t="shared" ca="1" si="157"/>
        <v>246154</v>
      </c>
      <c r="O347" s="90">
        <f t="shared" ca="1" si="155"/>
        <v>25.129294063600632</v>
      </c>
      <c r="P347" s="90">
        <f t="shared" ca="1" si="156"/>
        <v>43.042946072602646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815350</v>
      </c>
      <c r="M348" s="495">
        <f t="shared" ca="1" si="158"/>
        <v>407680</v>
      </c>
      <c r="N348" s="495">
        <f t="shared" ca="1" si="158"/>
        <v>81954</v>
      </c>
      <c r="O348" s="495">
        <f t="shared" ca="1" si="155"/>
        <v>10.05138897406022</v>
      </c>
      <c r="P348" s="495">
        <f t="shared" ca="1" si="156"/>
        <v>20.102531397174253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IFERROR(__xludf.DUMMYFUNCTION("IMPORTRANGE(""https://docs.google.com/spreadsheets/d/1MeEWN-I1oV_STSDYn1IFDPWt_1FKiwhDph83XaGc0o0/edit?usp=sharing"",""งบพรบ!EW54"")"),815350)</f>
        <v>815350</v>
      </c>
      <c r="M350" s="90">
        <f ca="1">IFERROR(__xludf.DUMMYFUNCTION("IMPORTRANGE(""https://docs.google.com/spreadsheets/d/1MeEWN-I1oV_STSDYn1IFDPWt_1FKiwhDph83XaGc0o0/edit?usp=sharing"",""งบพรบ!FB54"")"),407680)</f>
        <v>407680</v>
      </c>
      <c r="N350" s="90">
        <f ca="1">IFERROR(__xludf.DUMMYFUNCTION("IMPORTRANGE(""https://docs.google.com/spreadsheets/d/1MeEWN-I1oV_STSDYn1IFDPWt_1FKiwhDph83XaGc0o0/edit?usp=sharing"",""งบพรบ!FD54"")"),81954)</f>
        <v>81954</v>
      </c>
      <c r="O350" s="90">
        <f t="shared" ca="1" si="155"/>
        <v>10.05138897406022</v>
      </c>
      <c r="P350" s="90">
        <f t="shared" ca="1" si="156"/>
        <v>20.102531397174253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164200</v>
      </c>
      <c r="M351" s="495">
        <f t="shared" ca="1" si="159"/>
        <v>164200</v>
      </c>
      <c r="N351" s="495">
        <f t="shared" ca="1" si="159"/>
        <v>164200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IFERROR(__xludf.DUMMYFUNCTION("IMPORTRANGE(""https://docs.google.com/spreadsheets/d/1MeEWN-I1oV_STSDYn1IFDPWt_1FKiwhDph83XaGc0o0/edit?usp=sharing"",""งบพรบ!EZ54"")"),164200)</f>
        <v>164200</v>
      </c>
      <c r="M353" s="90">
        <f ca="1">IFERROR(__xludf.DUMMYFUNCTION("IMPORTRANGE(""https://docs.google.com/spreadsheets/d/1MeEWN-I1oV_STSDYn1IFDPWt_1FKiwhDph83XaGc0o0/edit?usp=sharing"",""งบพรบ!FC54"")"),164200)</f>
        <v>164200</v>
      </c>
      <c r="N353" s="90">
        <f ca="1">IFERROR(__xludf.DUMMYFUNCTION("IMPORTRANGE(""https://docs.google.com/spreadsheets/d/1MeEWN-I1oV_STSDYn1IFDPWt_1FKiwhDph83XaGc0o0/edit?usp=sharing"",""งบพรบ!FE54"")"),164200)</f>
        <v>164200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IFERROR(__xludf.DUMMYFUNCTION("IMPORTRANGE(""https://docs.google.com/spreadsheets/d/1QqKyyYR6Q21VydFLVH3TRQUabQu_ym0Zz7PgGX0-kHA/edit?usp=sharing"",""แผน!EP54"")"),255)</f>
        <v>255</v>
      </c>
      <c r="J355" s="462">
        <f ca="1">J362</f>
        <v>3</v>
      </c>
      <c r="K355" s="463">
        <f ca="1">IF(I355&gt;0,J355*100/I355,0)</f>
        <v>1.1764705882352942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IFERROR(__xludf.DUMMYFUNCTION("IMPORTRANGE(""https://docs.google.com/spreadsheets/d/1XWAQStnk-4SwqDmLtmXYiTMKHgktTP8We1SCoS47DrQ/edit?usp=sharing"",""จัดที่ดิน!W54"")"),41)</f>
        <v>41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IFERROR(__xludf.DUMMYFUNCTION("IMPORTRANGE(""https://docs.google.com/spreadsheets/d/1QqKyyYR6Q21VydFLVH3TRQUabQu_ym0Zz7PgGX0-kHA/edit?usp=sharing"",""แผน!EO54"")"),3700)</f>
        <v>3700</v>
      </c>
      <c r="J359" s="264">
        <f ca="1">IFERROR(__xludf.DUMMYFUNCTION("IMPORTRANGE(""https://docs.google.com/spreadsheets/d/1XWAQStnk-4SwqDmLtmXYiTMKHgktTP8We1SCoS47DrQ/edit?usp=sharing"",""จัดที่ดิน!X54"")"),283.13)</f>
        <v>283.13</v>
      </c>
      <c r="K359" s="495">
        <f t="shared" ca="1" si="160"/>
        <v>7.6521621621621625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IFERROR(__xludf.DUMMYFUNCTION("IMPORTRANGE(""https://docs.google.com/spreadsheets/d/1QqKyyYR6Q21VydFLVH3TRQUabQu_ym0Zz7PgGX0-kHA/edit?usp=sharing"",""แผน!EP54"")"),255)</f>
        <v>255</v>
      </c>
      <c r="J360" s="264">
        <f ca="1">IFERROR(__xludf.DUMMYFUNCTION("IMPORTRANGE(""https://docs.google.com/spreadsheets/d/1XWAQStnk-4SwqDmLtmXYiTMKHgktTP8We1SCoS47DrQ/edit?usp=sharing"",""จัดที่ดิน!Y54"")"),4)</f>
        <v>4</v>
      </c>
      <c r="K360" s="495">
        <f t="shared" ca="1" si="160"/>
        <v>1.5686274509803921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IFERROR(__xludf.DUMMYFUNCTION("IMPORTRANGE(""https://docs.google.com/spreadsheets/d/1XWAQStnk-4SwqDmLtmXYiTMKHgktTP8We1SCoS47DrQ/edit?usp=sharing"",""จัดที่ดิน!Z54"")"),65.05)</f>
        <v>65.05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IFERROR(__xludf.DUMMYFUNCTION("IMPORTRANGE(""https://docs.google.com/spreadsheets/d/1QqKyyYR6Q21VydFLVH3TRQUabQu_ym0Zz7PgGX0-kHA/edit?usp=sharing"",""แผน!EP54"")"),255)</f>
        <v>255</v>
      </c>
      <c r="J362" s="264">
        <f ca="1">IFERROR(__xludf.DUMMYFUNCTION("IMPORTRANGE(""https://docs.google.com/spreadsheets/d/1XWAQStnk-4SwqDmLtmXYiTMKHgktTP8We1SCoS47DrQ/edit?usp=sharing"",""จัดที่ดิน!AA54"")"),3)</f>
        <v>3</v>
      </c>
      <c r="K362" s="495">
        <f t="shared" ca="1" si="160"/>
        <v>1.1764705882352942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IFERROR(__xludf.DUMMYFUNCTION("IMPORTRANGE(""https://docs.google.com/spreadsheets/d/1XWAQStnk-4SwqDmLtmXYiTMKHgktTP8We1SCoS47DrQ/edit?usp=sharing"",""จัดที่ดิน!AB54"")"),64.14)</f>
        <v>64.14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355</v>
      </c>
      <c r="J364" s="476">
        <f t="shared" ca="1" si="161"/>
        <v>24</v>
      </c>
      <c r="K364" s="477">
        <f t="shared" ca="1" si="160"/>
        <v>6.76056338028169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IFERROR(__xludf.DUMMYFUNCTION("IMPORTRANGE(""https://docs.google.com/spreadsheets/d/1QqKyyYR6Q21VydFLVH3TRQUabQu_ym0Zz7PgGX0-kHA/edit?usp=sharing"",""แผน!EJ54"")"),205)</f>
        <v>205</v>
      </c>
      <c r="J365" s="488">
        <f ca="1">J372</f>
        <v>3</v>
      </c>
      <c r="K365" s="489">
        <f t="shared" ca="1" si="160"/>
        <v>1.4634146341463414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IFERROR(__xludf.DUMMYFUNCTION("IMPORTRANGE(""https://docs.google.com/spreadsheets/d/1XWAQStnk-4SwqDmLtmXYiTMKHgktTP8We1SCoS47DrQ/edit?usp=sharing"",""จัดที่ดิน!E54"")"),13)</f>
        <v>13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IFERROR(__xludf.DUMMYFUNCTION("IMPORTRANGE(""https://docs.google.com/spreadsheets/d/1QqKyyYR6Q21VydFLVH3TRQUabQu_ym0Zz7PgGX0-kHA/edit?usp=sharing"",""แผน!EI54"")"),2700)</f>
        <v>2700</v>
      </c>
      <c r="J369" s="264">
        <f ca="1">IFERROR(__xludf.DUMMYFUNCTION("IMPORTRANGE(""https://docs.google.com/spreadsheets/d/1XWAQStnk-4SwqDmLtmXYiTMKHgktTP8We1SCoS47DrQ/edit?usp=sharing"",""จัดที่ดิน!F54"")"),98.44)</f>
        <v>98.44</v>
      </c>
      <c r="K369" s="495">
        <f t="shared" ca="1" si="162"/>
        <v>3.6459259259259258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IFERROR(__xludf.DUMMYFUNCTION("IMPORTRANGE(""https://docs.google.com/spreadsheets/d/1QqKyyYR6Q21VydFLVH3TRQUabQu_ym0Zz7PgGX0-kHA/edit?usp=sharing"",""แผน!EJ54"")"),205)</f>
        <v>205</v>
      </c>
      <c r="J370" s="264">
        <f ca="1">IFERROR(__xludf.DUMMYFUNCTION("IMPORTRANGE(""https://docs.google.com/spreadsheets/d/1XWAQStnk-4SwqDmLtmXYiTMKHgktTP8We1SCoS47DrQ/edit?usp=sharing"",""จัดที่ดิน!G54"")"),4)</f>
        <v>4</v>
      </c>
      <c r="K370" s="495">
        <f t="shared" ca="1" si="162"/>
        <v>1.9512195121951219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IFERROR(__xludf.DUMMYFUNCTION("IMPORTRANGE(""https://docs.google.com/spreadsheets/d/1XWAQStnk-4SwqDmLtmXYiTMKHgktTP8We1SCoS47DrQ/edit?usp=sharing"",""จัดที่ดิน!H54"")"),65.05)</f>
        <v>65.05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IFERROR(__xludf.DUMMYFUNCTION("IMPORTRANGE(""https://docs.google.com/spreadsheets/d/1QqKyyYR6Q21VydFLVH3TRQUabQu_ym0Zz7PgGX0-kHA/edit?usp=sharing"",""แผน!EJ54"")"),205)</f>
        <v>205</v>
      </c>
      <c r="J372" s="264">
        <f ca="1">IFERROR(__xludf.DUMMYFUNCTION("IMPORTRANGE(""https://docs.google.com/spreadsheets/d/1XWAQStnk-4SwqDmLtmXYiTMKHgktTP8We1SCoS47DrQ/edit?usp=sharing"",""จัดที่ดิน!I54"")"),3)</f>
        <v>3</v>
      </c>
      <c r="K372" s="495">
        <f t="shared" ca="1" si="162"/>
        <v>1.4634146341463414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IFERROR(__xludf.DUMMYFUNCTION("IMPORTRANGE(""https://docs.google.com/spreadsheets/d/1XWAQStnk-4SwqDmLtmXYiTMKHgktTP8We1SCoS47DrQ/edit?usp=sharing"",""จัดที่ดิน!J54"")"),64.14)</f>
        <v>64.14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IFERROR(__xludf.DUMMYFUNCTION("IMPORTRANGE(""https://docs.google.com/spreadsheets/d/1QqKyyYR6Q21VydFLVH3TRQUabQu_ym0Zz7PgGX0-kHA/edit?usp=sharing"",""แผน!EU54"")"),150)</f>
        <v>150</v>
      </c>
      <c r="J374" s="488">
        <f ca="1">J381</f>
        <v>21</v>
      </c>
      <c r="K374" s="489">
        <f t="shared" ca="1" si="162"/>
        <v>14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IFERROR(__xludf.DUMMYFUNCTION("IMPORTRANGE(""https://docs.google.com/spreadsheets/d/1XWAQStnk-4SwqDmLtmXYiTMKHgktTP8We1SCoS47DrQ/edit?usp=sharing"",""จัดที่ดิน!AH54"")"),28)</f>
        <v>28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IFERROR(__xludf.DUMMYFUNCTION("IMPORTRANGE(""https://docs.google.com/spreadsheets/d/1QqKyyYR6Q21VydFLVH3TRQUabQu_ym0Zz7PgGX0-kHA/edit?usp=sharing"",""แผน!ET54"")"),1000)</f>
        <v>1000</v>
      </c>
      <c r="J378" s="264">
        <f ca="1">IFERROR(__xludf.DUMMYFUNCTION("IMPORTRANGE(""https://docs.google.com/spreadsheets/d/1XWAQStnk-4SwqDmLtmXYiTMKHgktTP8We1SCoS47DrQ/edit?usp=sharing"",""จัดที่ดิน!AI54"")"),184.69)</f>
        <v>184.69</v>
      </c>
      <c r="K378" s="495">
        <f t="shared" ca="1" si="163"/>
        <v>18.469000000000001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IFERROR(__xludf.DUMMYFUNCTION("IMPORTRANGE(""https://docs.google.com/spreadsheets/d/1QqKyyYR6Q21VydFLVH3TRQUabQu_ym0Zz7PgGX0-kHA/edit?usp=sharing"",""แผน!EU54"")"),150)</f>
        <v>150</v>
      </c>
      <c r="J379" s="264">
        <f ca="1">IFERROR(__xludf.DUMMYFUNCTION("IMPORTRANGE(""https://docs.google.com/spreadsheets/d/1XWAQStnk-4SwqDmLtmXYiTMKHgktTP8We1SCoS47DrQ/edit?usp=sharing"",""จัดที่ดิน!AJ54"")"),21)</f>
        <v>21</v>
      </c>
      <c r="K379" s="495">
        <f t="shared" ca="1" si="163"/>
        <v>14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IFERROR(__xludf.DUMMYFUNCTION("IMPORTRANGE(""https://docs.google.com/spreadsheets/d/1XWAQStnk-4SwqDmLtmXYiTMKHgktTP8We1SCoS47DrQ/edit?usp=sharing"",""จัดที่ดิน!AK54"")"),284.44)</f>
        <v>284.44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IFERROR(__xludf.DUMMYFUNCTION("IMPORTRANGE(""https://docs.google.com/spreadsheets/d/1QqKyyYR6Q21VydFLVH3TRQUabQu_ym0Zz7PgGX0-kHA/edit?usp=sharing"",""แผน!EU54"")"),150)</f>
        <v>150</v>
      </c>
      <c r="J381" s="264">
        <f ca="1">IFERROR(__xludf.DUMMYFUNCTION("IMPORTRANGE(""https://docs.google.com/spreadsheets/d/1XWAQStnk-4SwqDmLtmXYiTMKHgktTP8We1SCoS47DrQ/edit?usp=sharing"",""จัดที่ดิน!AL54"")"),21)</f>
        <v>21</v>
      </c>
      <c r="K381" s="495">
        <f t="shared" ca="1" si="163"/>
        <v>14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IFERROR(__xludf.DUMMYFUNCTION("IMPORTRANGE(""https://docs.google.com/spreadsheets/d/1XWAQStnk-4SwqDmLtmXYiTMKHgktTP8We1SCoS47DrQ/edit?usp=sharing"",""จัดที่ดิน!AM54"")"),284.44)</f>
        <v>284.44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IFERROR(__xludf.DUMMYFUNCTION("IMPORTRANGE(""https://docs.google.com/spreadsheets/d/1QqKyyYR6Q21VydFLVH3TRQUabQu_ym0Zz7PgGX0-kHA/edit?usp=sharing"",""แผน!EW54"")"),10)</f>
        <v>10</v>
      </c>
      <c r="J385" s="498">
        <f ca="1">IFERROR(__xludf.DUMMYFUNCTION("IMPORTRANGE(""https://docs.google.com/spreadsheets/d/1XWAQStnk-4SwqDmLtmXYiTMKHgktTP8We1SCoS47DrQ/edit?usp=sharing"",""จัดที่ดิน!AP54"")"),2)</f>
        <v>2</v>
      </c>
      <c r="K385" s="499">
        <f ca="1">IF(I385&gt;0,J385*100/I385,0)</f>
        <v>20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IFERROR(__xludf.DUMMYFUNCTION("IMPORTRANGE(""https://docs.google.com/spreadsheets/d/1MeEWN-I1oV_STSDYn1IFDPWt_1FKiwhDph83XaGc0o0/edit?usp=sharing"",""งบพรบ!FG54"")"),0)</f>
        <v>0</v>
      </c>
      <c r="M394" s="90">
        <f ca="1">IFERROR(__xludf.DUMMYFUNCTION("IMPORTRANGE(""https://docs.google.com/spreadsheets/d/1MeEWN-I1oV_STSDYn1IFDPWt_1FKiwhDph83XaGc0o0/edit?usp=sharing"",""งบพรบ!FL54"")"),0)</f>
        <v>0</v>
      </c>
      <c r="N394" s="90">
        <f ca="1">IFERROR(__xludf.DUMMYFUNCTION("IMPORTRANGE(""https://docs.google.com/spreadsheets/d/1MeEWN-I1oV_STSDYn1IFDPWt_1FKiwhDph83XaGc0o0/edit?usp=sharing"",""งบพรบ!FN54"")"),0)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IFERROR(__xludf.DUMMYFUNCTION("IMPORTRANGE(""https://docs.google.com/spreadsheets/d/1MeEWN-I1oV_STSDYn1IFDPWt_1FKiwhDph83XaGc0o0/edit?usp=sharing"",""งบพรบ!FJ54"")"),0)</f>
        <v>0</v>
      </c>
      <c r="M397" s="90">
        <f ca="1">IFERROR(__xludf.DUMMYFUNCTION("IMPORTRANGE(""https://docs.google.com/spreadsheets/d/1MeEWN-I1oV_STSDYn1IFDPWt_1FKiwhDph83XaGc0o0/edit?usp=sharing"",""งบพรบ!FM54"")"),0)</f>
        <v>0</v>
      </c>
      <c r="N397" s="90">
        <f ca="1">IFERROR(__xludf.DUMMYFUNCTION("IMPORTRANGE(""https://docs.google.com/spreadsheets/d/1MeEWN-I1oV_STSDYn1IFDPWt_1FKiwhDph83XaGc0o0/edit?usp=sharing"",""งบพรบ!FO54"")"),0)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IFERROR(__xludf.DUMMYFUNCTION("IMPORTRANGE(""https://docs.google.com/spreadsheets/d/1MeEWN-I1oV_STSDYn1IFDPWt_1FKiwhDph83XaGc0o0/edit?usp=sharing"",""งบพรบ!FQ54"")"),0)</f>
        <v>0</v>
      </c>
      <c r="M407" s="90">
        <f ca="1">IFERROR(__xludf.DUMMYFUNCTION("IMPORTRANGE(""https://docs.google.com/spreadsheets/d/1MeEWN-I1oV_STSDYn1IFDPWt_1FKiwhDph83XaGc0o0/edit?usp=sharing"",""งบพรบ!FV54"")"),0)</f>
        <v>0</v>
      </c>
      <c r="N407" s="90">
        <f ca="1">IFERROR(__xludf.DUMMYFUNCTION("IMPORTRANGE(""https://docs.google.com/spreadsheets/d/1MeEWN-I1oV_STSDYn1IFDPWt_1FKiwhDph83XaGc0o0/edit?usp=sharing"",""งบพรบ!FX54"")"),0)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IFERROR(__xludf.DUMMYFUNCTION("IMPORTRANGE(""https://docs.google.com/spreadsheets/d/1MeEWN-I1oV_STSDYn1IFDPWt_1FKiwhDph83XaGc0o0/edit?usp=sharing"",""งบพรบ!FT54"")"),0)</f>
        <v>0</v>
      </c>
      <c r="M410" s="90">
        <f ca="1">IFERROR(__xludf.DUMMYFUNCTION("IMPORTRANGE(""https://docs.google.com/spreadsheets/d/1MeEWN-I1oV_STSDYn1IFDPWt_1FKiwhDph83XaGc0o0/edit?usp=sharing"",""งบพรบ!FW54"")"),0)</f>
        <v>0</v>
      </c>
      <c r="N410" s="90">
        <f ca="1">IFERROR(__xludf.DUMMYFUNCTION("IMPORTRANGE(""https://docs.google.com/spreadsheets/d/1MeEWN-I1oV_STSDYn1IFDPWt_1FKiwhDph83XaGc0o0/edit?usp=sharing"",""งบพรบ!FY54"")"),0)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738903</v>
      </c>
      <c r="M414" s="546">
        <f t="shared" si="180"/>
        <v>0</v>
      </c>
      <c r="N414" s="546">
        <f t="shared" si="180"/>
        <v>15770</v>
      </c>
      <c r="O414" s="546">
        <f ca="1">IF(L414&gt;0,N414*100/L414,0)</f>
        <v>2.1342449550211597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20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78660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78660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78660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IFERROR(__xludf.DUMMYFUNCTION("IMPORTRANGE(""https://docs.google.com/spreadsheets/d/1QqKyyYR6Q21VydFLVH3TRQUabQu_ym0Zz7PgGX0-kHA/edit?usp=sharing"",""แผน!EY54"")"),78660)</f>
        <v>78660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IFERROR(__xludf.DUMMYFUNCTION("IMPORTRANGE(""https://docs.google.com/spreadsheets/d/1QqKyyYR6Q21VydFLVH3TRQUabQu_ym0Zz7PgGX0-kHA/edit?usp=sharing"",""แผน!FB54"")"),0)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20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IFERROR(__xludf.DUMMYFUNCTION("IMPORTRANGE(""https://docs.google.com/spreadsheets/d/1QqKyyYR6Q21VydFLVH3TRQUabQu_ym0Zz7PgGX0-kHA/edit?usp=sharing"",""แผน!FC54"")"),20)</f>
        <v>20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IFERROR(__xludf.DUMMYFUNCTION("IMPORTRANGE(""https://docs.google.com/spreadsheets/d/1QqKyyYR6Q21VydFLVH3TRQUabQu_ym0Zz7PgGX0-kHA/edit?usp=sharing"",""แผน!FD54"")"),0)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IFERROR(__xludf.DUMMYFUNCTION("IMPORTRANGE(""https://docs.google.com/spreadsheets/d/1QqKyyYR6Q21VydFLVH3TRQUabQu_ym0Zz7PgGX0-kHA/edit?usp=sharing"",""แผน!FE54"")"),0)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IFERROR(__xludf.DUMMYFUNCTION("IMPORTRANGE(""https://docs.google.com/spreadsheets/d/1QqKyyYR6Q21VydFLVH3TRQUabQu_ym0Zz7PgGX0-kHA/edit?usp=sharing"",""แผน!FF54"")"),20)</f>
        <v>20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IFERROR(__xludf.DUMMYFUNCTION("IMPORTRANGE(""https://docs.google.com/spreadsheets/d/1QqKyyYR6Q21VydFLVH3TRQUabQu_ym0Zz7PgGX0-kHA/edit?usp=sharing"",""แผน!FG54"")"),1)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IFERROR(__xludf.DUMMYFUNCTION("IMPORTRANGE(""https://docs.google.com/spreadsheets/d/1QqKyyYR6Q21VydFLVH3TRQUabQu_ym0Zz7PgGX0-kHA/edit?usp=sharing"",""แผน!FH54"")"),0)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IFERROR(__xludf.DUMMYFUNCTION("IMPORTRANGE(""https://docs.google.com/spreadsheets/d/1QqKyyYR6Q21VydFLVH3TRQUabQu_ym0Zz7PgGX0-kHA/edit?usp=sharing"",""แผน!FJ54"")"),0)</f>
        <v>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IFERROR(__xludf.DUMMYFUNCTION("IMPORTRANGE(""https://docs.google.com/spreadsheets/d/1QqKyyYR6Q21VydFLVH3TRQUabQu_ym0Zz7PgGX0-kHA/edit?usp=sharing"",""แผน!FM54"")"),0)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IFERROR(__xludf.DUMMYFUNCTION("IMPORTRANGE(""https://docs.google.com/spreadsheets/d/1QqKyyYR6Q21VydFLVH3TRQUabQu_ym0Zz7PgGX0-kHA/edit?usp=sharing"",""แผน!FN54"")"),0)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IFERROR(__xludf.DUMMYFUNCTION("IMPORTRANGE(""https://docs.google.com/spreadsheets/d/1QqKyyYR6Q21VydFLVH3TRQUabQu_ym0Zz7PgGX0-kHA/edit?usp=sharing"",""แผน!FO54"")"),0)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IFERROR(__xludf.DUMMYFUNCTION("IMPORTRANGE(""https://docs.google.com/spreadsheets/d/1QqKyyYR6Q21VydFLVH3TRQUabQu_ym0Zz7PgGX0-kHA/edit?usp=sharing"",""แผน!FO54"")"),0)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IFERROR(__xludf.DUMMYFUNCTION("IMPORTRANGE(""https://docs.google.com/spreadsheets/d/1QqKyyYR6Q21VydFLVH3TRQUabQu_ym0Zz7PgGX0-kHA/edit?usp=sharing"",""แผน!FN54"")"),0)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IFERROR(__xludf.DUMMYFUNCTION("IMPORTRANGE(""https://docs.google.com/spreadsheets/d/1QqKyyYR6Q21VydFLVH3TRQUabQu_ym0Zz7PgGX0-kHA/edit?usp=sharing"",""แผน!FX54"")"),51)</f>
        <v>51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IFERROR(__xludf.DUMMYFUNCTION("IMPORTRANGE(""https://docs.google.com/spreadsheets/d/1QqKyyYR6Q21VydFLVH3TRQUabQu_ym0Zz7PgGX0-kHA/edit?usp=sharing"",""แผน!FW54"")"),500)</f>
        <v>500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403983</v>
      </c>
      <c r="M467" s="191">
        <f t="shared" si="205"/>
        <v>0</v>
      </c>
      <c r="N467" s="191">
        <f t="shared" si="205"/>
        <v>1120</v>
      </c>
      <c r="O467" s="191">
        <f t="shared" ref="O467:O472" ca="1" si="206">IF(L467&gt;0,N467*100/L467,0)</f>
        <v>0.27723938878616178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403983</v>
      </c>
      <c r="M469" s="90">
        <f t="shared" si="208"/>
        <v>0</v>
      </c>
      <c r="N469" s="90">
        <f t="shared" si="208"/>
        <v>1120</v>
      </c>
      <c r="O469" s="90">
        <f t="shared" ca="1" si="206"/>
        <v>0.27723938878616178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403983</v>
      </c>
      <c r="M470" s="495">
        <f t="shared" si="209"/>
        <v>0</v>
      </c>
      <c r="N470" s="495">
        <f t="shared" si="209"/>
        <v>1120</v>
      </c>
      <c r="O470" s="495">
        <f t="shared" ca="1" si="206"/>
        <v>0.27723938878616178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IFERROR(__xludf.DUMMYFUNCTION("IMPORTRANGE(""https://docs.google.com/spreadsheets/d/1QqKyyYR6Q21VydFLVH3TRQUabQu_ym0Zz7PgGX0-kHA/edit?usp=sharing"",""แผน!FS54"")"),403983)</f>
        <v>403983</v>
      </c>
      <c r="M472" s="90">
        <v>0</v>
      </c>
      <c r="N472" s="90">
        <f>N473+N474+N475+N476</f>
        <v>1120</v>
      </c>
      <c r="O472" s="90">
        <f t="shared" ca="1" si="206"/>
        <v>0.27723938878616178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1120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IFERROR(__xludf.DUMMYFUNCTION("IMPORTRANGE(""https://docs.google.com/spreadsheets/d/1QqKyyYR6Q21VydFLVH3TRQUabQu_ym0Zz7PgGX0-kHA/edit?usp=sharing"",""แผน!FV54"")"),0)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IFERROR(__xludf.DUMMYFUNCTION("IMPORTRANGE(""https://docs.google.com/spreadsheets/d/1QqKyyYR6Q21VydFLVH3TRQUabQu_ym0Zz7PgGX0-kHA/edit?usp=sharing"",""แผน!FY54"")"),450)</f>
        <v>450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IFERROR(__xludf.DUMMYFUNCTION("IMPORTRANGE(""https://docs.google.com/spreadsheets/d/1QqKyyYR6Q21VydFLVH3TRQUabQu_ym0Zz7PgGX0-kHA/edit?usp=sharing"",""แผน!FZ54"")"),45)</f>
        <v>45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IFERROR(__xludf.DUMMYFUNCTION("IMPORTRANGE(""https://docs.google.com/spreadsheets/d/1QqKyyYR6Q21VydFLVH3TRQUabQu_ym0Zz7PgGX0-kHA/edit?usp=sharing"",""แผน!GA54"")"),50)</f>
        <v>50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IFERROR(__xludf.DUMMYFUNCTION("IMPORTRANGE(""https://docs.google.com/spreadsheets/d/1QqKyyYR6Q21VydFLVH3TRQUabQu_ym0Zz7PgGX0-kHA/edit?usp=sharing"",""แผน!GB54"")"),5)</f>
        <v>5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IFERROR(__xludf.DUMMYFUNCTION("IMPORTRANGE(""https://docs.google.com/spreadsheets/d/1QqKyyYR6Q21VydFLVH3TRQUabQu_ym0Zz7PgGX0-kHA/edit?usp=sharing"",""แผน!GC54"")"),1)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IFERROR(__xludf.DUMMYFUNCTION("IMPORTRANGE(""https://docs.google.com/spreadsheets/d/1QqKyyYR6Q21VydFLVH3TRQUabQu_ym0Zz7PgGX0-kHA/edit?usp=sharing"",""แผน!FY54"")"),450)</f>
        <v>450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IFERROR(__xludf.DUMMYFUNCTION("IMPORTRANGE(""https://docs.google.com/spreadsheets/d/1QqKyyYR6Q21VydFLVH3TRQUabQu_ym0Zz7PgGX0-kHA/edit?usp=sharing"",""แผน!GA54"")"),50)</f>
        <v>50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 hidden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IFERROR(__xludf.DUMMYFUNCTION("IMPORTRANGE(""https://docs.google.com/spreadsheets/d/1QqKyyYR6Q21VydFLVH3TRQUabQu_ym0Zz7PgGX0-kHA/edit?usp=sharing"",""แผน!GQ54"")"),0)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IFERROR(__xludf.DUMMYFUNCTION("IMPORTRANGE(""https://docs.google.com/spreadsheets/d/1QqKyyYR6Q21VydFLVH3TRQUabQu_ym0Zz7PgGX0-kHA/edit?usp=sharing"",""แผน!GT54"")"),0)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IFERROR(__xludf.DUMMYFUNCTION("IMPORTRANGE(""https://docs.google.com/spreadsheets/d/1QqKyyYR6Q21VydFLVH3TRQUabQu_ym0Zz7PgGX0-kHA/edit?usp=sharing"",""แผน!GU54"")"),0)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IFERROR(__xludf.DUMMYFUNCTION("IMPORTRANGE(""https://docs.google.com/spreadsheets/d/1QqKyyYR6Q21VydFLVH3TRQUabQu_ym0Zz7PgGX0-kHA/edit?usp=sharing"",""แผน!GV54"")"),0)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IFERROR(__xludf.DUMMYFUNCTION("IMPORTRANGE(""https://docs.google.com/spreadsheets/d/1QqKyyYR6Q21VydFLVH3TRQUabQu_ym0Zz7PgGX0-kHA/edit?usp=sharing"",""แผน!GW54"")"),0)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IFERROR(__xludf.DUMMYFUNCTION("IMPORTRANGE(""https://docs.google.com/spreadsheets/d/1QqKyyYR6Q21VydFLVH3TRQUabQu_ym0Zz7PgGX0-kHA/edit?usp=sharing"",""แผน!GX54"")"),0)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IFERROR(__xludf.DUMMYFUNCTION("IMPORTRANGE(""https://docs.google.com/spreadsheets/d/1QqKyyYR6Q21VydFLVH3TRQUabQu_ym0Zz7PgGX0-kHA/edit?usp=sharing"",""แผน!GY54"")"),0)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IFERROR(__xludf.DUMMYFUNCTION("IMPORTRANGE(""https://docs.google.com/spreadsheets/d/1QqKyyYR6Q21VydFLVH3TRQUabQu_ym0Zz7PgGX0-kHA/edit?usp=sharing"",""แผน!GZ54"")"),0)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219500</v>
      </c>
      <c r="M544" s="151">
        <f t="shared" si="235"/>
        <v>0</v>
      </c>
      <c r="N544" s="151">
        <f t="shared" si="235"/>
        <v>13000</v>
      </c>
      <c r="O544" s="151">
        <f t="shared" ref="O544:O549" ca="1" si="236">IF(L544&gt;0,N544*100/L544,0)</f>
        <v>5.9225512528473807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219500</v>
      </c>
      <c r="M546" s="90">
        <f t="shared" si="239"/>
        <v>0</v>
      </c>
      <c r="N546" s="90">
        <f t="shared" si="239"/>
        <v>13000</v>
      </c>
      <c r="O546" s="90">
        <f t="shared" ca="1" si="236"/>
        <v>5.9225512528473807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219500</v>
      </c>
      <c r="M547" s="495">
        <f t="shared" si="240"/>
        <v>0</v>
      </c>
      <c r="N547" s="495">
        <f t="shared" si="240"/>
        <v>13000</v>
      </c>
      <c r="O547" s="495">
        <f t="shared" ca="1" si="236"/>
        <v>5.9225512528473807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IFERROR(__xludf.DUMMYFUNCTION("IMPORTRANGE(""https://docs.google.com/spreadsheets/d/1QqKyyYR6Q21VydFLVH3TRQUabQu_ym0Zz7PgGX0-kHA/edit?usp=sharing"",""แผน!HB54"")"),219500)</f>
        <v>219500</v>
      </c>
      <c r="M549" s="90">
        <v>0</v>
      </c>
      <c r="N549" s="90">
        <f>N550+N551+N552+N553+N554</f>
        <v>13000</v>
      </c>
      <c r="O549" s="90">
        <f t="shared" ca="1" si="236"/>
        <v>5.9225512528473807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13000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IFERROR(__xludf.DUMMYFUNCTION("IMPORTRANGE(""https://docs.google.com/spreadsheets/d/1QqKyyYR6Q21VydFLVH3TRQUabQu_ym0Zz7PgGX0-kHA/edit?usp=sharing"",""แผน!HF54"")"),0)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IFERROR(__xludf.DUMMYFUNCTION("IMPORTRANGE(""https://docs.google.com/spreadsheets/d/1QqKyyYR6Q21VydFLVH3TRQUabQu_ym0Zz7PgGX0-kHA/edit?usp=sharing"",""แผน!HH54"")"),0)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IFERROR(__xludf.DUMMYFUNCTION("IMPORTRANGE(""https://docs.google.com/spreadsheets/d/1QqKyyYR6Q21VydFLVH3TRQUabQu_ym0Zz7PgGX0-kHA/edit?usp=sharing"",""แผน!HG54"")"),0)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IFERROR(__xludf.DUMMYFUNCTION("IMPORTRANGE(""https://docs.google.com/spreadsheets/d/1QqKyyYR6Q21VydFLVH3TRQUabQu_ym0Zz7PgGX0-kHA/edit?usp=sharing"",""แผน!HH54"")"),0)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IFERROR(__xludf.DUMMYFUNCTION("IMPORTRANGE(""https://docs.google.com/spreadsheets/d/1QqKyyYR6Q21VydFLVH3TRQUabQu_ym0Zz7PgGX0-kHA/edit?usp=sharing"",""แผน!HG54"")"),0)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IFERROR(__xludf.DUMMYFUNCTION("IMPORTRANGE(""https://docs.google.com/spreadsheets/d/1QqKyyYR6Q21VydFLVH3TRQUabQu_ym0Zz7PgGX0-kHA/edit?usp=sharing"",""แผน!HH54"")"),0)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IFERROR(__xludf.DUMMYFUNCTION("IMPORTRANGE(""https://docs.google.com/spreadsheets/d/1QqKyyYR6Q21VydFLVH3TRQUabQu_ym0Zz7PgGX0-kHA/edit?usp=sharing"",""แผน!HG54"")"),0)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845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IFERROR(__xludf.DUMMYFUNCTION("IMPORTRANGE(""https://docs.google.com/spreadsheets/d/1QqKyyYR6Q21VydFLVH3TRQUabQu_ym0Zz7PgGX0-kHA/edit?usp=sharing"",""แผน!HJ54"")"),845)</f>
        <v>845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IFERROR(__xludf.DUMMYFUNCTION("IMPORTRANGE(""https://docs.google.com/spreadsheets/d/1QqKyyYR6Q21VydFLVH3TRQUabQu_ym0Zz7PgGX0-kHA/edit?usp=sharing"",""แผน!HI54"")"),25)</f>
        <v>25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IFERROR(__xludf.DUMMYFUNCTION("IMPORTRANGE(""https://docs.google.com/spreadsheets/d/1QqKyyYR6Q21VydFLVH3TRQUabQu_ym0Zz7PgGX0-kHA/edit?usp=sharing"",""แผน!HL54"")"),0)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IFERROR(__xludf.DUMMYFUNCTION("IMPORTRANGE(""https://docs.google.com/spreadsheets/d/1QqKyyYR6Q21VydFLVH3TRQUabQu_ym0Zz7PgGX0-kHA/edit?usp=sharing"",""แผน!HK54"")"),0)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0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0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0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IFERROR(__xludf.DUMMYFUNCTION("IMPORTRANGE(""https://docs.google.com/spreadsheets/d/1QqKyyYR6Q21VydFLVH3TRQUabQu_ym0Zz7PgGX0-kHA/edit?usp=sharing"",""แผน!HN54"")"),0)</f>
        <v>0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IFERROR(__xludf.DUMMYFUNCTION("IMPORTRANGE(""https://docs.google.com/spreadsheets/d/1QqKyyYR6Q21VydFLVH3TRQUabQu_ym0Zz7PgGX0-kHA/edit?usp=sharing"",""แผน!HQ54"")"),0)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IFERROR(__xludf.DUMMYFUNCTION("IMPORTRANGE(""https://docs.google.com/spreadsheets/d/1QqKyyYR6Q21VydFLVH3TRQUabQu_ym0Zz7PgGX0-kHA/edit?usp=sharing"",""แผน!HR54"")"),0)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IFERROR(__xludf.DUMMYFUNCTION("IMPORTRANGE(""https://docs.google.com/spreadsheets/d/1QqKyyYR6Q21VydFLVH3TRQUabQu_ym0Zz7PgGX0-kHA/edit?usp=sharing"",""แผน!HR54"")"),0)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IFERROR(__xludf.DUMMYFUNCTION("IMPORTRANGE(""https://docs.google.com/spreadsheets/d/1XWAQStnk-4SwqDmLtmXYiTMKHgktTP8We1SCoS47DrQ/edit?usp=sharing"",""จัดที่ดิน!AS54"")"),1)</f>
        <v>1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IFERROR(__xludf.DUMMYFUNCTION("IMPORTRANGE(""https://docs.google.com/spreadsheets/d/1XWAQStnk-4SwqDmLtmXYiTMKHgktTP8We1SCoS47DrQ/edit?usp=sharing"",""จัดที่ดิน!AT54"")"),1.05)</f>
        <v>1.05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IFERROR(__xludf.DUMMYFUNCTION("IMPORTRANGE(""https://docs.google.com/spreadsheets/d/1QqKyyYR6Q21VydFLVH3TRQUabQu_ym0Zz7PgGX0-kHA/edit?usp=sharing"",""แผน!HS54"")"),0)</f>
        <v>0</v>
      </c>
      <c r="J647" s="264">
        <f ca="1">IFERROR(__xludf.DUMMYFUNCTION("IMPORTRANGE(""https://docs.google.com/spreadsheets/d/1XWAQStnk-4SwqDmLtmXYiTMKHgktTP8We1SCoS47DrQ/edit?usp=sharing"",""จัดที่ดิน!AU54"")"),1)</f>
        <v>1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IFERROR(__xludf.DUMMYFUNCTION("IMPORTRANGE(""https://docs.google.com/spreadsheets/d/1XWAQStnk-4SwqDmLtmXYiTMKHgktTP8We1SCoS47DrQ/edit?usp=sharing"",""จัดที่ดิน!AV54"")"),1.05)</f>
        <v>1.05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IFERROR(__xludf.DUMMYFUNCTION("IMPORTRANGE(""https://docs.google.com/spreadsheets/d/1QqKyyYR6Q21VydFLVH3TRQUabQu_ym0Zz7PgGX0-kHA/edit?usp=sharing"",""แผน!HS54"")"),0)</f>
        <v>0</v>
      </c>
      <c r="J649" s="264">
        <f ca="1">IFERROR(__xludf.DUMMYFUNCTION("IMPORTRANGE(""https://docs.google.com/spreadsheets/d/1XWAQStnk-4SwqDmLtmXYiTMKHgktTP8We1SCoS47DrQ/edit?usp=sharing"",""จัดที่ดิน!AW54"")"),0)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IFERROR(__xludf.DUMMYFUNCTION("IMPORTRANGE(""https://docs.google.com/spreadsheets/d/1XWAQStnk-4SwqDmLtmXYiTMKHgktTP8We1SCoS47DrQ/edit?usp=sharing"",""จัดที่ดิน!AX54"")"),0)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IFERROR(__xludf.DUMMYFUNCTION("IMPORTRANGE(""https://docs.google.com/spreadsheets/d/1QqKyyYR6Q21VydFLVH3TRQUabQu_ym0Zz7PgGX0-kHA/edit?usp=sharing"",""แผน!HS54"")"),0)</f>
        <v>0</v>
      </c>
      <c r="J651" s="264">
        <f ca="1">IFERROR(__xludf.DUMMYFUNCTION("IMPORTRANGE(""https://docs.google.com/spreadsheets/d/1XWAQStnk-4SwqDmLtmXYiTMKHgktTP8We1SCoS47DrQ/edit?usp=sharing"",""จัดที่ดิน!AY54"")"),0)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IFERROR(__xludf.DUMMYFUNCTION("IMPORTRANGE(""https://docs.google.com/spreadsheets/d/1XWAQStnk-4SwqDmLtmXYiTMKHgktTP8We1SCoS47DrQ/edit?usp=sharing"",""จัดที่ดิน!AZ54"")"),0)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50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9400</v>
      </c>
      <c r="M655" s="191">
        <f t="shared" si="272"/>
        <v>0</v>
      </c>
      <c r="N655" s="191">
        <f t="shared" si="272"/>
        <v>1650</v>
      </c>
      <c r="O655" s="191">
        <f t="shared" ref="O655:O660" ca="1" si="273">IF(L655&gt;0,N655*100/L655,0)</f>
        <v>17.553191489361701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9400</v>
      </c>
      <c r="M657" s="90">
        <f t="shared" si="275"/>
        <v>0</v>
      </c>
      <c r="N657" s="90">
        <f t="shared" si="275"/>
        <v>1650</v>
      </c>
      <c r="O657" s="90">
        <f t="shared" ca="1" si="273"/>
        <v>17.553191489361701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9400</v>
      </c>
      <c r="M658" s="495">
        <f t="shared" si="276"/>
        <v>0</v>
      </c>
      <c r="N658" s="495">
        <f t="shared" si="276"/>
        <v>1650</v>
      </c>
      <c r="O658" s="495">
        <f t="shared" ca="1" si="273"/>
        <v>17.553191489361701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IFERROR(__xludf.DUMMYFUNCTION("IMPORTRANGE(""https://docs.google.com/spreadsheets/d/1QqKyyYR6Q21VydFLVH3TRQUabQu_ym0Zz7PgGX0-kHA/edit?usp=sharing"",""แผน!HV54"")"),9400)</f>
        <v>9400</v>
      </c>
      <c r="M660" s="90">
        <v>0</v>
      </c>
      <c r="N660" s="90">
        <f>N661+N662+N663+N664</f>
        <v>1650</v>
      </c>
      <c r="O660" s="90">
        <f t="shared" ca="1" si="273"/>
        <v>17.553191489361701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1650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IFERROR(__xludf.DUMMYFUNCTION("IMPORTRANGE(""https://docs.google.com/spreadsheets/d/1QqKyyYR6Q21VydFLVH3TRQUabQu_ym0Zz7PgGX0-kHA/edit?usp=sharing"",""แผน!IA54"")"),50)</f>
        <v>50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IFERROR(__xludf.DUMMYFUNCTION("IMPORTRANGE(""https://docs.google.com/spreadsheets/d/1QqKyyYR6Q21VydFLVH3TRQUabQu_ym0Zz7PgGX0-kHA/edit?usp=sharing"",""แผน!HZ54"")"),4)</f>
        <v>4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IFERROR(__xludf.DUMMYFUNCTION("IMPORTRANGE(""https://docs.google.com/spreadsheets/d/1QqKyyYR6Q21VydFLVH3TRQUabQu_ym0Zz7PgGX0-kHA/edit?usp=sharing"",""แผน!HZ54"")"),4)</f>
        <v>4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IFERROR(__xludf.DUMMYFUNCTION("IMPORTRANGE(""https://docs.google.com/spreadsheets/d/1QqKyyYR6Q21VydFLVH3TRQUabQu_ym0Zz7PgGX0-kHA/edit?usp=sharing"",""แผน!IB54"")"),0)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27360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27360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27360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IFERROR(__xludf.DUMMYFUNCTION("IMPORTRANGE(""https://docs.google.com/spreadsheets/d/1QqKyyYR6Q21VydFLVH3TRQUabQu_ym0Zz7PgGX0-kHA/edit?usp=sharing"",""แผน!HW54"")"),27360)</f>
        <v>27360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IFERROR(__xludf.DUMMYFUNCTION("IMPORTRANGE(""https://docs.google.com/spreadsheets/d/1QqKyyYR6Q21VydFLVH3TRQUabQu_ym0Zz7PgGX0-kHA/edit?usp=sharing"",""แผน!IC54"")"),10)</f>
        <v>10</v>
      </c>
      <c r="J699" s="264">
        <f ca="1">IFERROR(__xludf.DUMMYFUNCTION("IMPORTRANGE(""https://docs.google.com/spreadsheets/d/1XWAQStnk-4SwqDmLtmXYiTMKHgktTP8We1SCoS47DrQ/edit?usp=sharing"",""จัดที่ดิน!BB54"")"),0)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IFERROR(__xludf.DUMMYFUNCTION("IMPORTRANGE(""https://docs.google.com/spreadsheets/d/1QqKyyYR6Q21VydFLVH3TRQUabQu_ym0Zz7PgGX0-kHA/edit?usp=sharing"",""แผน!ID54"")"),2)</f>
        <v>2</v>
      </c>
      <c r="J700" s="264">
        <f ca="1">IFERROR(__xludf.DUMMYFUNCTION("IMPORTRANGE(""https://docs.google.com/spreadsheets/d/1XWAQStnk-4SwqDmLtmXYiTMKHgktTP8We1SCoS47DrQ/edit?usp=sharing"",""จัดที่ดิน!BD54"")"),0)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IFERROR(__xludf.DUMMYFUNCTION("IMPORTRANGE(""https://docs.google.com/spreadsheets/d/1QqKyyYR6Q21VydFLVH3TRQUabQu_ym0Zz7PgGX0-kHA/edit?usp=sharing"",""แผน!IE54"")"),0)</f>
        <v>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IFERROR(__xludf.DUMMYFUNCTION("IMPORTRANGE(""https://docs.google.com/spreadsheets/d/1QqKyyYR6Q21VydFLVH3TRQUabQu_ym0Zz7PgGX0-kHA/edit?usp=sharing"",""แผน!IF54"")"),0)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IFERROR(__xludf.DUMMYFUNCTION("IMPORTRANGE(""https://docs.google.com/spreadsheets/d/1QqKyyYR6Q21VydFLVH3TRQUabQu_ym0Zz7PgGX0-kHA/edit?usp=sharing"",""แผน!IG54"")"),0)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IFERROR(__xludf.DUMMYFUNCTION("IMPORTRANGE(""https://docs.google.com/spreadsheets/d/1QqKyyYR6Q21VydFLVH3TRQUabQu_ym0Zz7PgGX0-kHA/edit?usp=sharing"",""แผน!IH54"")"),1245)</f>
        <v>1245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IFERROR(__xludf.DUMMYFUNCTION("IMPORTRANGE(""https://docs.google.com/spreadsheets/d/1XWAQStnk-4SwqDmLtmXYiTMKHgktTP8We1SCoS47DrQ/edit?usp=sharing"",""จัดที่ดิน!BF54"")"),0)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IFERROR(__xludf.DUMMYFUNCTION("IMPORTRANGE(""https://docs.google.com/spreadsheets/d/1XWAQStnk-4SwqDmLtmXYiTMKHgktTP8We1SCoS47DrQ/edit?usp=sharing"",""จัดที่ดิน!BG54"")"),0)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IFERROR(__xludf.DUMMYFUNCTION("IMPORTRANGE(""https://docs.google.com/spreadsheets/d/1QqKyyYR6Q21VydFLVH3TRQUabQu_ym0Zz7PgGX0-kHA/edit?usp=sharing"",""แผน!II54"")"),0)</f>
        <v>0</v>
      </c>
      <c r="J720" s="264">
        <f ca="1">IFERROR(__xludf.DUMMYFUNCTION("IMPORTRANGE(""https://docs.google.com/spreadsheets/d/1XWAQStnk-4SwqDmLtmXYiTMKHgktTP8We1SCoS47DrQ/edit?usp=sharing"",""จัดที่ดิน!BH54"")"),0)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IFERROR(__xludf.DUMMYFUNCTION("IMPORTRANGE(""https://docs.google.com/spreadsheets/d/1QqKyyYR6Q21VydFLVH3TRQUabQu_ym0Zz7PgGX0-kHA/edit?usp=sharing"",""แผน!IJ54"")"),1)</f>
        <v>1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IFERROR(__xludf.DUMMYFUNCTION("IMPORTRANGE(""https://docs.google.com/spreadsheets/d/1QqKyyYR6Q21VydFLVH3TRQUabQu_ym0Zz7PgGX0-kHA/edit?usp=sharing"",""แผน!IK54"")"),9)</f>
        <v>9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IFERROR(__xludf.DUMMYFUNCTION("IMPORTRANGE(""https://docs.google.com/spreadsheets/d/1QqKyyYR6Q21VydFLVH3TRQUabQu_ym0Zz7PgGX0-kHA/edit?usp=sharing"",""แผน!IL54"")"),1)</f>
        <v>1</v>
      </c>
      <c r="J723" s="264">
        <f ca="1">IFERROR(__xludf.DUMMYFUNCTION("IMPORTRANGE(""https://docs.google.com/spreadsheets/d/1XWAQStnk-4SwqDmLtmXYiTMKHgktTP8We1SCoS47DrQ/edit?usp=sharing"",""จัดที่ดิน!BM54"")"),0)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IFERROR(__xludf.DUMMYFUNCTION("IMPORTRANGE(""https://docs.google.com/spreadsheets/d/1XWAQStnk-4SwqDmLtmXYiTMKHgktTP8We1SCoS47DrQ/edit?usp=sharing"",""จัดที่ดิน!BN54"")"),0)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IFERROR(__xludf.DUMMYFUNCTION("IMPORTRANGE(""https://docs.google.com/spreadsheets/d/1QqKyyYR6Q21VydFLVH3TRQUabQu_ym0Zz7PgGX0-kHA/edit?usp=sharing"",""แผน!IM54"")"),9)</f>
        <v>9</v>
      </c>
      <c r="J725" s="264">
        <f ca="1">IFERROR(__xludf.DUMMYFUNCTION("IMPORTRANGE(""https://docs.google.com/spreadsheets/d/1XWAQStnk-4SwqDmLtmXYiTMKHgktTP8We1SCoS47DrQ/edit?usp=sharing"",""จัดที่ดิน!BO54"")"),0)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IFERROR(__xludf.DUMMYFUNCTION("IMPORTRANGE(""https://docs.google.com/spreadsheets/d/1QqKyyYR6Q21VydFLVH3TRQUabQu_ym0Zz7PgGX0-kHA/edit?usp=sharing"",""แผน!IN54"")"),0)</f>
        <v>0</v>
      </c>
      <c r="J726" s="264">
        <f ca="1">IFERROR(__xludf.DUMMYFUNCTION("IMPORTRANGE(""https://docs.google.com/spreadsheets/d/1XWAQStnk-4SwqDmLtmXYiTMKHgktTP8We1SCoS47DrQ/edit?usp=sharing"",""จัดที่ดิน!BR54"")"),0)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IFERROR(__xludf.DUMMYFUNCTION("IMPORTRANGE(""https://docs.google.com/spreadsheets/d/1XWAQStnk-4SwqDmLtmXYiTMKHgktTP8We1SCoS47DrQ/edit?usp=sharing"",""จัดที่ดิน!BS54"")"),0)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IFERROR(__xludf.DUMMYFUNCTION("IMPORTRANGE(""https://docs.google.com/spreadsheets/d/1QqKyyYR6Q21VydFLVH3TRQUabQu_ym0Zz7PgGX0-kHA/edit?usp=sharing"",""แผน!IO54"")"),0)</f>
        <v>0</v>
      </c>
      <c r="J728" s="264">
        <f ca="1">IFERROR(__xludf.DUMMYFUNCTION("IMPORTRANGE(""https://docs.google.com/spreadsheets/d/1XWAQStnk-4SwqDmLtmXYiTMKHgktTP8We1SCoS47DrQ/edit?usp=sharing"",""จัดที่ดิน!BT54"")"),0)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IFERROR(__xludf.DUMMYFUNCTION("IMPORTRANGE(""https://docs.google.com/spreadsheets/d/1QqKyyYR6Q21VydFLVH3TRQUabQu_ym0Zz7PgGX0-kHA/edit?usp=sharing"",""แผน!IP54"")"),1)</f>
        <v>1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IFERROR(__xludf.DUMMYFUNCTION("IMPORTRANGE(""https://docs.google.com/spreadsheets/d/1QqKyyYR6Q21VydFLVH3TRQUabQu_ym0Zz7PgGX0-kHA/edit?usp=sharing"",""แผน!JJ54"")"),0)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IFERROR(__xludf.DUMMYFUNCTION("IMPORTRANGE(""https://docs.google.com/spreadsheets/d/1QqKyyYR6Q21VydFLVH3TRQUabQu_ym0Zz7PgGX0-kHA/edit?usp=sharing"",""แผน!JN54"")"),0)</f>
        <v>0</v>
      </c>
      <c r="J800" s="180">
        <f ca="1">IFERROR(__xludf.DUMMYFUNCTION("IMPORTRANGE(""https://docs.google.com/spreadsheets/d/1MaWodYyGHDf7siQLGxnXhG4mBNTNIuy296niS2xXulU/edit?usp=sharing"",""RTK!H54"")"),0)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IFERROR(__xludf.DUMMYFUNCTION("IMPORTRANGE(""https://docs.google.com/spreadsheets/d/1MaWodYyGHDf7siQLGxnXhG4mBNTNIuy296niS2xXulU/edit?usp=sharing"",""RTK!I54"")"),0)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IFERROR(__xludf.DUMMYFUNCTION("IMPORTRANGE(""https://docs.google.com/spreadsheets/d/19vJNZY_5yjcGF2XGBMNZRCAIB0Kwfpjp8YEOfu-bneM/edit?usp=sharing"",""งานกองทุน!D54"")"),6886000)</f>
        <v>6886000</v>
      </c>
      <c r="J821" s="264">
        <f ca="1">IFERROR(__xludf.DUMMYFUNCTION("IMPORTRANGE(""https://docs.google.com/spreadsheets/d/19vJNZY_5yjcGF2XGBMNZRCAIB0Kwfpjp8YEOfu-bneM/edit?usp=sharing"",""งานกองทุน!F54"")"),0)</f>
        <v>0</v>
      </c>
      <c r="K821" s="495">
        <f t="shared" ref="K821:K828" ca="1" si="334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IFERROR(__xludf.DUMMYFUNCTION("IMPORTRANGE(""https://docs.google.com/spreadsheets/d/19vJNZY_5yjcGF2XGBMNZRCAIB0Kwfpjp8YEOfu-bneM/edit?usp=sharing"",""งานกองทุน!C54"")"),345)</f>
        <v>345</v>
      </c>
      <c r="J822" s="264">
        <f ca="1">IFERROR(__xludf.DUMMYFUNCTION("IMPORTRANGE(""https://docs.google.com/spreadsheets/d/19vJNZY_5yjcGF2XGBMNZRCAIB0Kwfpjp8YEOfu-bneM/edit?usp=sharing"",""งานกองทุน!E54"")"),0)</f>
        <v>0</v>
      </c>
      <c r="K822" s="495">
        <f t="shared" ca="1" si="334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264">
        <f ca="1">IFERROR(__xludf.DUMMYFUNCTION("IMPORTRANGE(""https://docs.google.com/spreadsheets/d/19vJNZY_5yjcGF2XGBMNZRCAIB0Kwfpjp8YEOfu-bneM/edit?usp=sharing"",""งานกองทุน!K54"")"),18350)</f>
        <v>18350</v>
      </c>
      <c r="K823" s="495">
        <f t="shared" ca="1" si="334"/>
        <v>0.12111361563141244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IFERROR(__xludf.DUMMYFUNCTION("IMPORTRANGE(""https://docs.google.com/spreadsheets/d/19vJNZY_5yjcGF2XGBMNZRCAIB0Kwfpjp8YEOfu-bneM/edit?usp=sharing"",""งานกองทุน!H54"")"),345)</f>
        <v>345</v>
      </c>
      <c r="J824" s="264">
        <f ca="1">IFERROR(__xludf.DUMMYFUNCTION("IMPORTRANGE(""https://docs.google.com/spreadsheets/d/19vJNZY_5yjcGF2XGBMNZRCAIB0Kwfpjp8YEOfu-bneM/edit?usp=sharing"",""งานกองทุน!J54"")"),5)</f>
        <v>5</v>
      </c>
      <c r="K824" s="495">
        <f t="shared" ca="1" si="334"/>
        <v>1.4492753623188406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264">
        <f ca="1">IFERROR(__xludf.DUMMYFUNCTION("IMPORTRANGE(""https://docs.google.com/spreadsheets/d/19vJNZY_5yjcGF2XGBMNZRCAIB0Kwfpjp8YEOfu-bneM/edit?usp=sharing"",""งานกองทุน!P54"")"),0)</f>
        <v>0</v>
      </c>
      <c r="K825" s="495">
        <f t="shared" ca="1" si="334"/>
        <v>0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IFERROR(__xludf.DUMMYFUNCTION("IMPORTRANGE(""https://docs.google.com/spreadsheets/d/19vJNZY_5yjcGF2XGBMNZRCAIB0Kwfpjp8YEOfu-bneM/edit?usp=sharing"",""งานกองทุน!M54"")"),109)</f>
        <v>109</v>
      </c>
      <c r="J826" s="264">
        <f ca="1">IFERROR(__xludf.DUMMYFUNCTION("IMPORTRANGE(""https://docs.google.com/spreadsheets/d/19vJNZY_5yjcGF2XGBMNZRCAIB0Kwfpjp8YEOfu-bneM/edit?usp=sharing"",""งานกองทุน!O54"")"),0)</f>
        <v>0</v>
      </c>
      <c r="K826" s="495">
        <f t="shared" ca="1" si="334"/>
        <v>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IFERROR(__xludf.DUMMYFUNCTION("IMPORTRANGE(""https://docs.google.com/spreadsheets/d/19vJNZY_5yjcGF2XGBMNZRCAIB0Kwfpjp8YEOfu-bneM/edit?usp=sharing"",""งานกองทุน!S54"")"),13880000)</f>
        <v>13880000</v>
      </c>
      <c r="J827" s="264">
        <f ca="1">IFERROR(__xludf.DUMMYFUNCTION("IMPORTRANGE(""https://docs.google.com/spreadsheets/d/19vJNZY_5yjcGF2XGBMNZRCAIB0Kwfpjp8YEOfu-bneM/edit?usp=sharing"",""งานกองทุน!U54"")"),0)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IFERROR(__xludf.DUMMYFUNCTION("IMPORTRANGE(""https://docs.google.com/spreadsheets/d/19vJNZY_5yjcGF2XGBMNZRCAIB0Kwfpjp8YEOfu-bneM/edit?usp=sharing"",""งานกองทุน!R54"")"),555)</f>
        <v>555</v>
      </c>
      <c r="J828" s="498">
        <f ca="1">IFERROR(__xludf.DUMMYFUNCTION("IMPORTRANGE(""https://docs.google.com/spreadsheets/d/19vJNZY_5yjcGF2XGBMNZRCAIB0Kwfpjp8YEOfu-bneM/edit?usp=sharing"",""งานกองทุน!T54"")"),39)</f>
        <v>39</v>
      </c>
      <c r="K828" s="499">
        <f t="shared" ca="1" si="334"/>
        <v>7.0270270270270272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EF4B-E589-4D34-B4BD-2C065FB34F78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3" sqref="A3:P3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334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819">
        <f t="shared" ref="L8:N8" ca="1" si="0">L9+L10</f>
        <v>7305033</v>
      </c>
      <c r="M8" s="819">
        <f t="shared" ca="1" si="0"/>
        <v>3411420</v>
      </c>
      <c r="N8" s="819">
        <f t="shared" ca="1" si="0"/>
        <v>1577323.1099999999</v>
      </c>
      <c r="O8" s="819">
        <f t="shared" ref="O8:O16" ca="1" si="1">IF(L8&gt;0,N8*100/L8,0)</f>
        <v>21.592279049252756</v>
      </c>
      <c r="P8" s="819">
        <f t="shared" ref="P8:P16" ca="1" si="2">IF(M8&gt;0,N8*100/M8,0)</f>
        <v>46.236555745114934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7305033</v>
      </c>
      <c r="M10" s="29">
        <f t="shared" ca="1" si="3"/>
        <v>3411420</v>
      </c>
      <c r="N10" s="29">
        <f t="shared" ca="1" si="3"/>
        <v>1577323.1099999999</v>
      </c>
      <c r="O10" s="29">
        <f t="shared" ca="1" si="1"/>
        <v>21.592279049252756</v>
      </c>
      <c r="P10" s="29">
        <f t="shared" ca="1" si="2"/>
        <v>46.236555745114934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5811433</v>
      </c>
      <c r="M11" s="495">
        <f t="shared" ca="1" si="4"/>
        <v>1917820</v>
      </c>
      <c r="N11" s="495">
        <f t="shared" ca="1" si="4"/>
        <v>1045723.11</v>
      </c>
      <c r="O11" s="495">
        <f t="shared" ca="1" si="1"/>
        <v>17.994238426219489</v>
      </c>
      <c r="P11" s="495">
        <f t="shared" ca="1" si="2"/>
        <v>54.526655786257315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5811433</v>
      </c>
      <c r="M13" s="90">
        <f t="shared" ca="1" si="5"/>
        <v>1917820</v>
      </c>
      <c r="N13" s="90">
        <f t="shared" ca="1" si="5"/>
        <v>1045723.11</v>
      </c>
      <c r="O13" s="90">
        <f t="shared" ca="1" si="1"/>
        <v>17.994238426219489</v>
      </c>
      <c r="P13" s="90">
        <f t="shared" ca="1" si="2"/>
        <v>54.526655786257315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1493600</v>
      </c>
      <c r="M14" s="495">
        <f t="shared" ca="1" si="6"/>
        <v>1493600</v>
      </c>
      <c r="N14" s="495">
        <f t="shared" ca="1" si="6"/>
        <v>531600</v>
      </c>
      <c r="O14" s="495">
        <f t="shared" ca="1" si="1"/>
        <v>35.591858596679167</v>
      </c>
      <c r="P14" s="495">
        <f t="shared" ca="1" si="2"/>
        <v>35.591858596679167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1493600</v>
      </c>
      <c r="M16" s="51">
        <f t="shared" ca="1" si="7"/>
        <v>1493600</v>
      </c>
      <c r="N16" s="51">
        <f t="shared" ca="1" si="7"/>
        <v>531600</v>
      </c>
      <c r="O16" s="51">
        <f t="shared" ca="1" si="1"/>
        <v>35.591858596679167</v>
      </c>
      <c r="P16" s="51">
        <f t="shared" ca="1" si="2"/>
        <v>35.591858596679167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819">
        <f t="shared" ref="L18:N18" ca="1" si="8">L19+L20</f>
        <v>5413505</v>
      </c>
      <c r="M18" s="819">
        <f t="shared" ca="1" si="8"/>
        <v>3411420</v>
      </c>
      <c r="N18" s="819">
        <f t="shared" ca="1" si="8"/>
        <v>1530648.81</v>
      </c>
      <c r="O18" s="819">
        <f t="shared" ref="O18:O26" ca="1" si="9">IF(L18&gt;0,N18*100/L18,0)</f>
        <v>28.274635564204708</v>
      </c>
      <c r="P18" s="819">
        <f t="shared" ref="P18:P26" ca="1" si="10">IF(M18&gt;0,N18*100/M18,0)</f>
        <v>44.868377684366038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5413505</v>
      </c>
      <c r="M20" s="29">
        <f t="shared" ca="1" si="11"/>
        <v>3411420</v>
      </c>
      <c r="N20" s="29">
        <f t="shared" ca="1" si="11"/>
        <v>1530648.81</v>
      </c>
      <c r="O20" s="29">
        <f t="shared" ca="1" si="9"/>
        <v>28.274635564204708</v>
      </c>
      <c r="P20" s="29">
        <f t="shared" ca="1" si="10"/>
        <v>44.868377684366038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3919905</v>
      </c>
      <c r="M21" s="495">
        <f t="shared" ca="1" si="12"/>
        <v>1917820</v>
      </c>
      <c r="N21" s="495">
        <f t="shared" ca="1" si="12"/>
        <v>999048.80999999994</v>
      </c>
      <c r="O21" s="495">
        <f t="shared" ca="1" si="9"/>
        <v>25.486556689511609</v>
      </c>
      <c r="P21" s="495">
        <f t="shared" ca="1" si="10"/>
        <v>52.092939379086673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3919905</v>
      </c>
      <c r="M23" s="90">
        <f t="shared" ca="1" si="13"/>
        <v>1917820</v>
      </c>
      <c r="N23" s="90">
        <f t="shared" ca="1" si="13"/>
        <v>999048.80999999994</v>
      </c>
      <c r="O23" s="90">
        <f t="shared" ca="1" si="9"/>
        <v>25.486556689511609</v>
      </c>
      <c r="P23" s="90">
        <f t="shared" ca="1" si="10"/>
        <v>52.092939379086673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1493600</v>
      </c>
      <c r="M24" s="495">
        <f t="shared" ca="1" si="14"/>
        <v>1493600</v>
      </c>
      <c r="N24" s="495">
        <f t="shared" ca="1" si="14"/>
        <v>531600</v>
      </c>
      <c r="O24" s="495">
        <f t="shared" ca="1" si="9"/>
        <v>35.591858596679167</v>
      </c>
      <c r="P24" s="495">
        <f t="shared" ca="1" si="10"/>
        <v>35.591858596679167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1493600</v>
      </c>
      <c r="M26" s="51">
        <f t="shared" ca="1" si="15"/>
        <v>1493600</v>
      </c>
      <c r="N26" s="51">
        <f t="shared" ca="1" si="15"/>
        <v>531600</v>
      </c>
      <c r="O26" s="51">
        <f t="shared" ca="1" si="9"/>
        <v>35.591858596679167</v>
      </c>
      <c r="P26" s="51">
        <f t="shared" ca="1" si="10"/>
        <v>35.591858596679167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819">
        <f t="shared" ref="L28:N28" ca="1" si="16">L29+L30</f>
        <v>1891528</v>
      </c>
      <c r="M28" s="819">
        <f t="shared" si="16"/>
        <v>0</v>
      </c>
      <c r="N28" s="819">
        <f t="shared" si="16"/>
        <v>46674.3</v>
      </c>
      <c r="O28" s="819">
        <f t="shared" ref="O28:O37" ca="1" si="17">IF(L28&gt;0,N28*100/L28,0)</f>
        <v>2.4675447574659217</v>
      </c>
      <c r="P28" s="819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1891528</v>
      </c>
      <c r="M30" s="29">
        <f t="shared" si="19"/>
        <v>0</v>
      </c>
      <c r="N30" s="29">
        <f t="shared" si="19"/>
        <v>46674.3</v>
      </c>
      <c r="O30" s="29">
        <f t="shared" ca="1" si="17"/>
        <v>2.4675447574659217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1891528</v>
      </c>
      <c r="M31" s="495">
        <f t="shared" si="20"/>
        <v>0</v>
      </c>
      <c r="N31" s="495">
        <f t="shared" si="20"/>
        <v>46674.3</v>
      </c>
      <c r="O31" s="495">
        <f t="shared" ca="1" si="17"/>
        <v>2.4675447574659217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1891528</v>
      </c>
      <c r="M33" s="90">
        <f t="shared" si="21"/>
        <v>0</v>
      </c>
      <c r="N33" s="90">
        <f t="shared" si="21"/>
        <v>46674.3</v>
      </c>
      <c r="O33" s="90">
        <f t="shared" ca="1" si="17"/>
        <v>2.4675447574659217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820">
        <f t="shared" ref="L37:N37" ca="1" si="24">L41+L53+L66+L88+L119+L132+L149+L165+L181+L261+L277+L298+L315+L328+L345+L389+L402</f>
        <v>5413505</v>
      </c>
      <c r="M37" s="820">
        <f t="shared" ca="1" si="24"/>
        <v>3411420</v>
      </c>
      <c r="N37" s="820">
        <f t="shared" ca="1" si="24"/>
        <v>1530648.81</v>
      </c>
      <c r="O37" s="820">
        <f t="shared" ca="1" si="17"/>
        <v>28.274635564204708</v>
      </c>
      <c r="P37" s="820">
        <f t="shared" ca="1" si="18"/>
        <v>44.868377684366038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2">
        <f t="shared" ref="L41:N41" ca="1" si="25">L42+L43</f>
        <v>536750</v>
      </c>
      <c r="M41" s="822">
        <f t="shared" ca="1" si="25"/>
        <v>271750</v>
      </c>
      <c r="N41" s="822">
        <f t="shared" ca="1" si="25"/>
        <v>164279</v>
      </c>
      <c r="O41" s="822">
        <f t="shared" ref="O41:O49" ca="1" si="26">IF(L41&gt;0,N41*100/L41,0)</f>
        <v>30.606241266884023</v>
      </c>
      <c r="P41" s="822">
        <f t="shared" ref="P41:P49" ca="1" si="27">IF(M41&gt;0,N41*100/M41,0)</f>
        <v>60.452253909843606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536750</v>
      </c>
      <c r="M43" s="89">
        <f t="shared" ca="1" si="28"/>
        <v>271750</v>
      </c>
      <c r="N43" s="89">
        <f t="shared" ca="1" si="28"/>
        <v>164279</v>
      </c>
      <c r="O43" s="89">
        <f t="shared" ca="1" si="26"/>
        <v>30.606241266884023</v>
      </c>
      <c r="P43" s="89">
        <f t="shared" ca="1" si="27"/>
        <v>60.452253909843606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536750</v>
      </c>
      <c r="M44" s="495">
        <f t="shared" ca="1" si="29"/>
        <v>271750</v>
      </c>
      <c r="N44" s="495">
        <f t="shared" ca="1" si="29"/>
        <v>164279</v>
      </c>
      <c r="O44" s="495">
        <f t="shared" ca="1" si="26"/>
        <v>30.606241266884023</v>
      </c>
      <c r="P44" s="495">
        <f t="shared" ca="1" si="27"/>
        <v>60.452253909843606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IFERROR(__xludf.DUMMYFUNCTION("IMPORTRANGE(""https://docs.google.com/spreadsheets/d/1MeEWN-I1oV_STSDYn1IFDPWt_1FKiwhDph83XaGc0o0/edit?usp=sharing"",""งบพรบ!M55"")"),536750)</f>
        <v>536750</v>
      </c>
      <c r="M46" s="90">
        <f ca="1">IFERROR(__xludf.DUMMYFUNCTION("IMPORTRANGE(""https://docs.google.com/spreadsheets/d/1MeEWN-I1oV_STSDYn1IFDPWt_1FKiwhDph83XaGc0o0/edit?usp=sharing"",""งบพรบ!R55"")"),271750)</f>
        <v>271750</v>
      </c>
      <c r="N46" s="90">
        <f ca="1">IFERROR(__xludf.DUMMYFUNCTION("IMPORTRANGE(""https://docs.google.com/spreadsheets/d/1MeEWN-I1oV_STSDYn1IFDPWt_1FKiwhDph83XaGc0o0/edit?usp=sharing"",""งบพรบ!T55"")"),164279)</f>
        <v>164279</v>
      </c>
      <c r="O46" s="90">
        <f t="shared" ca="1" si="26"/>
        <v>30.606241266884023</v>
      </c>
      <c r="P46" s="90">
        <f t="shared" ca="1" si="27"/>
        <v>60.452253909843606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IFERROR(__xludf.DUMMYFUNCTION("IMPORTRANGE(""https://docs.google.com/spreadsheets/d/1MeEWN-I1oV_STSDYn1IFDPWt_1FKiwhDph83XaGc0o0/edit?usp=sharing"",""งบพรบ!P55"")"),0)</f>
        <v>0</v>
      </c>
      <c r="M49" s="51">
        <f ca="1">IFERROR(__xludf.DUMMYFUNCTION("IMPORTRANGE(""https://docs.google.com/spreadsheets/d/1MeEWN-I1oV_STSDYn1IFDPWt_1FKiwhDph83XaGc0o0/edit?usp=sharing"",""งบพรบ!S55"")"),0)</f>
        <v>0</v>
      </c>
      <c r="N49" s="51">
        <f ca="1">IFERROR(__xludf.DUMMYFUNCTION("IMPORTRANGE(""https://docs.google.com/spreadsheets/d/1MeEWN-I1oV_STSDYn1IFDPWt_1FKiwhDph83XaGc0o0/edit?usp=sharing"",""งบพรบ!U55"")"),0)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824">
        <f t="shared" ref="L53:N53" ca="1" si="31">L54+L55</f>
        <v>1117500</v>
      </c>
      <c r="M53" s="824">
        <f t="shared" ca="1" si="31"/>
        <v>653850</v>
      </c>
      <c r="N53" s="824">
        <f t="shared" ca="1" si="31"/>
        <v>462044.34</v>
      </c>
      <c r="O53" s="824">
        <f t="shared" ref="O53:O61" ca="1" si="32">IF(L53&gt;0,N53*100/L53,0)</f>
        <v>41.346249664429529</v>
      </c>
      <c r="P53" s="824">
        <f t="shared" ref="P53:P61" ca="1" si="33">IF(M53&gt;0,N53*100/M53,0)</f>
        <v>70.665189263592566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1117500</v>
      </c>
      <c r="M55" s="119">
        <f t="shared" ca="1" si="34"/>
        <v>653850</v>
      </c>
      <c r="N55" s="119">
        <f t="shared" ca="1" si="34"/>
        <v>462044.34</v>
      </c>
      <c r="O55" s="119">
        <f t="shared" ca="1" si="32"/>
        <v>41.346249664429529</v>
      </c>
      <c r="P55" s="119">
        <f t="shared" ca="1" si="33"/>
        <v>70.665189263592566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928700</v>
      </c>
      <c r="M56" s="495">
        <f t="shared" ca="1" si="35"/>
        <v>465050</v>
      </c>
      <c r="N56" s="495">
        <f t="shared" ca="1" si="35"/>
        <v>273244.34000000003</v>
      </c>
      <c r="O56" s="495">
        <f t="shared" ca="1" si="32"/>
        <v>29.422239689889096</v>
      </c>
      <c r="P56" s="495">
        <f t="shared" ca="1" si="33"/>
        <v>58.755905816578867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IFERROR(__xludf.DUMMYFUNCTION("IMPORTRANGE(""https://docs.google.com/spreadsheets/d/1MeEWN-I1oV_STSDYn1IFDPWt_1FKiwhDph83XaGc0o0/edit?usp=sharing"",""งบพรบ!W55"")"),928700)</f>
        <v>928700</v>
      </c>
      <c r="M58" s="90">
        <f ca="1">IFERROR(__xludf.DUMMYFUNCTION("IMPORTRANGE(""https://docs.google.com/spreadsheets/d/1MeEWN-I1oV_STSDYn1IFDPWt_1FKiwhDph83XaGc0o0/edit?usp=sharing"",""งบพรบ!AB55"")"),465050)</f>
        <v>465050</v>
      </c>
      <c r="N58" s="90">
        <f ca="1">IFERROR(__xludf.DUMMYFUNCTION("IMPORTRANGE(""https://docs.google.com/spreadsheets/d/1MeEWN-I1oV_STSDYn1IFDPWt_1FKiwhDph83XaGc0o0/edit?usp=sharing"",""งบพรบ!AD55"")"),273244.34)</f>
        <v>273244.34000000003</v>
      </c>
      <c r="O58" s="90">
        <f t="shared" ca="1" si="32"/>
        <v>29.422239689889096</v>
      </c>
      <c r="P58" s="90">
        <f t="shared" ca="1" si="33"/>
        <v>58.755905816578867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188800</v>
      </c>
      <c r="M59" s="495">
        <f t="shared" ca="1" si="36"/>
        <v>188800</v>
      </c>
      <c r="N59" s="495">
        <f t="shared" ca="1" si="36"/>
        <v>188800</v>
      </c>
      <c r="O59" s="495">
        <f t="shared" ca="1" si="32"/>
        <v>100</v>
      </c>
      <c r="P59" s="495">
        <f t="shared" ca="1" si="33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IFERROR(__xludf.DUMMYFUNCTION("IMPORTRANGE(""https://docs.google.com/spreadsheets/d/1MeEWN-I1oV_STSDYn1IFDPWt_1FKiwhDph83XaGc0o0/edit?usp=sharing"",""งบพรบ!Z55"")"),188800)</f>
        <v>188800</v>
      </c>
      <c r="M61" s="51">
        <f ca="1">IFERROR(__xludf.DUMMYFUNCTION("IMPORTRANGE(""https://docs.google.com/spreadsheets/d/1MeEWN-I1oV_STSDYn1IFDPWt_1FKiwhDph83XaGc0o0/edit?usp=sharing"",""งบพรบ!AC55"")"),188800)</f>
        <v>188800</v>
      </c>
      <c r="N61" s="51">
        <f ca="1">IFERROR(__xludf.DUMMYFUNCTION("IMPORTRANGE(""https://docs.google.com/spreadsheets/d/1MeEWN-I1oV_STSDYn1IFDPWt_1FKiwhDph83XaGc0o0/edit?usp=sharing"",""งบพรบ!AE55"")"),188800)</f>
        <v>188800</v>
      </c>
      <c r="O61" s="51">
        <f t="shared" ca="1" si="32"/>
        <v>100</v>
      </c>
      <c r="P61" s="51">
        <f t="shared" ca="1" si="33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IFERROR(__xludf.DUMMYFUNCTION("IMPORTRANGE(""https://docs.google.com/spreadsheets/d/1MeEWN-I1oV_STSDYn1IFDPWt_1FKiwhDph83XaGc0o0/edit?usp=sharing"",""งบพรบ!AG55"")"),0)</f>
        <v>0</v>
      </c>
      <c r="M71" s="90">
        <f ca="1">IFERROR(__xludf.DUMMYFUNCTION("IMPORTRANGE(""https://docs.google.com/spreadsheets/d/1MeEWN-I1oV_STSDYn1IFDPWt_1FKiwhDph83XaGc0o0/edit?usp=sharing"",""งบพรบ!AL55"")"),0)</f>
        <v>0</v>
      </c>
      <c r="N71" s="90">
        <f ca="1">IFERROR(__xludf.DUMMYFUNCTION("IMPORTRANGE(""https://docs.google.com/spreadsheets/d/1MeEWN-I1oV_STSDYn1IFDPWt_1FKiwhDph83XaGc0o0/edit?usp=sharing"",""งบพรบ!AN55"")"),0)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IFERROR(__xludf.DUMMYFUNCTION("IMPORTRANGE(""https://docs.google.com/spreadsheets/d/1MeEWN-I1oV_STSDYn1IFDPWt_1FKiwhDph83XaGc0o0/edit?usp=sharing"",""งบพรบ!AJ55"")"),0)</f>
        <v>0</v>
      </c>
      <c r="M74" s="90">
        <f ca="1">IFERROR(__xludf.DUMMYFUNCTION("IMPORTRANGE(""https://docs.google.com/spreadsheets/d/1MeEWN-I1oV_STSDYn1IFDPWt_1FKiwhDph83XaGc0o0/edit?usp=sharing"",""งบพรบ!AM55"")"),0)</f>
        <v>0</v>
      </c>
      <c r="N74" s="90">
        <f ca="1">IFERROR(__xludf.DUMMYFUNCTION("IMPORTRANGE(""https://docs.google.com/spreadsheets/d/1MeEWN-I1oV_STSDYn1IFDPWt_1FKiwhDph83XaGc0o0/edit?usp=sharing"",""งบพรบ!AO55"")"),0)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IFERROR(__xludf.DUMMYFUNCTION("IMPORTRANGE(""https://docs.google.com/spreadsheets/d/1QqKyyYR6Q21VydFLVH3TRQUabQu_ym0Zz7PgGX0-kHA/edit?usp=sharing"",""แผน!H55"")"),0)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IFERROR(__xludf.DUMMYFUNCTION("IMPORTRANGE(""https://docs.google.com/spreadsheets/d/1QqKyyYR6Q21VydFLVH3TRQUabQu_ym0Zz7PgGX0-kHA/edit?usp=sharing"",""แผน!I55"")"),0)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IFERROR(__xludf.DUMMYFUNCTION("IMPORTRANGE(""https://docs.google.com/spreadsheets/d/1QqKyyYR6Q21VydFLVH3TRQUabQu_ym0Zz7PgGX0-kHA/edit?usp=sharing"",""แผน!F55"")"),0)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IFERROR(__xludf.DUMMYFUNCTION("IMPORTRANGE(""https://docs.google.com/spreadsheets/d/1QqKyyYR6Q21VydFLVH3TRQUabQu_ym0Zz7PgGX0-kHA/edit?usp=sharing"",""แผน!G55"")"),0)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IFERROR(__xludf.DUMMYFUNCTION("IMPORTRANGE(""https://docs.google.com/spreadsheets/d/1QqKyyYR6Q21VydFLVH3TRQUabQu_ym0Zz7PgGX0-kHA/edit?usp=sharing"",""แผน!D55"")"),0)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IFERROR(__xludf.DUMMYFUNCTION("IMPORTRANGE(""https://docs.google.com/spreadsheets/d/1QqKyyYR6Q21VydFLVH3TRQUabQu_ym0Zz7PgGX0-kHA/edit?usp=sharing"",""แผน!E55"")"),0)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IFERROR(__xludf.DUMMYFUNCTION("IMPORTRANGE(""https://docs.google.com/spreadsheets/d/1QqKyyYR6Q21VydFLVH3TRQUabQu_ym0Zz7PgGX0-kHA/edit?usp=sharing"",""แผน!J55"")"),0)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30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85840</v>
      </c>
      <c r="M88" s="151">
        <f t="shared" ca="1" si="49"/>
        <v>21840</v>
      </c>
      <c r="N88" s="151">
        <f t="shared" ca="1" si="49"/>
        <v>0</v>
      </c>
      <c r="O88" s="151">
        <f t="shared" ref="O88:O96" ca="1" si="50">IF(L88&gt;0,N88*100/L88,0)</f>
        <v>0</v>
      </c>
      <c r="P88" s="151">
        <f t="shared" ref="P88:P96" ca="1" si="51">IF(M88&gt;0,N88*100/M88,0)</f>
        <v>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85840</v>
      </c>
      <c r="M90" s="90">
        <f t="shared" ca="1" si="52"/>
        <v>21840</v>
      </c>
      <c r="N90" s="90">
        <f t="shared" ca="1" si="52"/>
        <v>0</v>
      </c>
      <c r="O90" s="90">
        <f t="shared" ca="1" si="50"/>
        <v>0</v>
      </c>
      <c r="P90" s="90">
        <f t="shared" ca="1" si="51"/>
        <v>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85840</v>
      </c>
      <c r="M91" s="495">
        <f t="shared" ca="1" si="53"/>
        <v>21840</v>
      </c>
      <c r="N91" s="495">
        <f t="shared" ca="1" si="53"/>
        <v>0</v>
      </c>
      <c r="O91" s="495">
        <f t="shared" ca="1" si="50"/>
        <v>0</v>
      </c>
      <c r="P91" s="495">
        <f t="shared" ca="1" si="51"/>
        <v>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IFERROR(__xludf.DUMMYFUNCTION("IMPORTRANGE(""https://docs.google.com/spreadsheets/d/1MeEWN-I1oV_STSDYn1IFDPWt_1FKiwhDph83XaGc0o0/edit?usp=sharing"",""งบพรบ!AQ55"")"),85840)</f>
        <v>85840</v>
      </c>
      <c r="M93" s="90">
        <f ca="1">IFERROR(__xludf.DUMMYFUNCTION("IMPORTRANGE(""https://docs.google.com/spreadsheets/d/1MeEWN-I1oV_STSDYn1IFDPWt_1FKiwhDph83XaGc0o0/edit?usp=sharing"",""งบพรบ!AV55"")"),21840)</f>
        <v>21840</v>
      </c>
      <c r="N93" s="90">
        <f ca="1">IFERROR(__xludf.DUMMYFUNCTION("IMPORTRANGE(""https://docs.google.com/spreadsheets/d/1MeEWN-I1oV_STSDYn1IFDPWt_1FKiwhDph83XaGc0o0/edit?usp=sharing"",""งบพรบ!AX55"")"),0)</f>
        <v>0</v>
      </c>
      <c r="O93" s="90">
        <f t="shared" ca="1" si="50"/>
        <v>0</v>
      </c>
      <c r="P93" s="90">
        <f t="shared" ca="1" si="51"/>
        <v>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IFERROR(__xludf.DUMMYFUNCTION("IMPORTRANGE(""https://docs.google.com/spreadsheets/d/1MeEWN-I1oV_STSDYn1IFDPWt_1FKiwhDph83XaGc0o0/edit?usp=sharing"",""งบพรบ!AT55"")"),0)</f>
        <v>0</v>
      </c>
      <c r="M96" s="90">
        <f ca="1">IFERROR(__xludf.DUMMYFUNCTION("IMPORTRANGE(""https://docs.google.com/spreadsheets/d/1MeEWN-I1oV_STSDYn1IFDPWt_1FKiwhDph83XaGc0o0/edit?usp=sharing"",""งบพรบ!AW55"")"),0)</f>
        <v>0</v>
      </c>
      <c r="N96" s="90">
        <f ca="1">IFERROR(__xludf.DUMMYFUNCTION("IMPORTRANGE(""https://docs.google.com/spreadsheets/d/1MeEWN-I1oV_STSDYn1IFDPWt_1FKiwhDph83XaGc0o0/edit?usp=sharing"",""งบพรบ!AY55"")"),0)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IFERROR(__xludf.DUMMYFUNCTION("IMPORTRANGE(""https://docs.google.com/spreadsheets/d/1QqKyyYR6Q21VydFLVH3TRQUabQu_ym0Zz7PgGX0-kHA/edit?usp=sharing"",""แผน!K55"")"),30)</f>
        <v>30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IFERROR(__xludf.DUMMYFUNCTION("IMPORTRANGE(""https://docs.google.com/spreadsheets/d/1QqKyyYR6Q21VydFLVH3TRQUabQu_ym0Zz7PgGX0-kHA/edit?usp=sharing"",""แผน!L55"")"),10)</f>
        <v>10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IFERROR(__xludf.DUMMYFUNCTION("IMPORTRANGE(""https://docs.google.com/spreadsheets/d/1QqKyyYR6Q21VydFLVH3TRQUabQu_ym0Zz7PgGX0-kHA/edit?usp=sharing"",""แผน!M55"")"),2)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IFERROR(__xludf.DUMMYFUNCTION("IMPORTRANGE(""https://docs.google.com/spreadsheets/d/1QqKyyYR6Q21VydFLVH3TRQUabQu_ym0Zz7PgGX0-kHA/edit?usp=sharing"",""แผน!N55"")"),30)</f>
        <v>30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IFERROR(__xludf.DUMMYFUNCTION("IMPORTRANGE(""https://docs.google.com/spreadsheets/d/1QqKyyYR6Q21VydFLVH3TRQUabQu_ym0Zz7PgGX0-kHA/edit?usp=sharing"",""แผน!O55"")"),10)</f>
        <v>10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IFERROR(__xludf.DUMMYFUNCTION("IMPORTRANGE(""https://docs.google.com/spreadsheets/d/1QqKyyYR6Q21VydFLVH3TRQUabQu_ym0Zz7PgGX0-kHA/edit?usp=sharing"",""แผน!O55"")"),10)</f>
        <v>10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IFERROR(__xludf.DUMMYFUNCTION("IMPORTRANGE(""https://docs.google.com/spreadsheets/d/1QqKyyYR6Q21VydFLVH3TRQUabQu_ym0Zz7PgGX0-kHA/edit?usp=sharing"",""แผน!P55"")"),1)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IFERROR(__xludf.DUMMYFUNCTION("IMPORTRANGE(""https://docs.google.com/spreadsheets/d/1QqKyyYR6Q21VydFLVH3TRQUabQu_ym0Zz7PgGX0-kHA/edit?usp=sharing"",""แผน!P55"")"),1)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IFERROR(__xludf.DUMMYFUNCTION("IMPORTRANGE(""https://docs.google.com/spreadsheets/d/1QqKyyYR6Q21VydFLVH3TRQUabQu_ym0Zz7PgGX0-kHA/edit?usp=sharing"",""แผน!Q55"")"),1)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IFERROR(__xludf.DUMMYFUNCTION("IMPORTRANGE(""https://docs.google.com/spreadsheets/d/1QqKyyYR6Q21VydFLVH3TRQUabQu_ym0Zz7PgGX0-kHA/edit?usp=sharing"",""แผน!Q55"")"),1)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IFERROR(__xludf.DUMMYFUNCTION("IMPORTRANGE(""https://docs.google.com/spreadsheets/d/1QqKyyYR6Q21VydFLVH3TRQUabQu_ym0Zz7PgGX0-kHA/edit?usp=sharing"",""แผน!R55"")"),10)</f>
        <v>10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IFERROR(__xludf.DUMMYFUNCTION("IMPORTRANGE(""https://docs.google.com/spreadsheets/d/1QqKyyYR6Q21VydFLVH3TRQUabQu_ym0Zz7PgGX0-kHA/edit?usp=sharing"",""แผน!R55"")"),10)</f>
        <v>10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IFERROR(__xludf.DUMMYFUNCTION("IMPORTRANGE(""https://docs.google.com/spreadsheets/d/1QqKyyYR6Q21VydFLVH3TRQUabQu_ym0Zz7PgGX0-kHA/edit?usp=sharing"",""แผน!R55"")"),10)</f>
        <v>10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IFERROR(__xludf.DUMMYFUNCTION("IMPORTRANGE(""https://docs.google.com/spreadsheets/d/1QqKyyYR6Q21VydFLVH3TRQUabQu_ym0Zz7PgGX0-kHA/edit?usp=sharing"",""แผน!S55"")"),1)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IFERROR(__xludf.DUMMYFUNCTION("IMPORTRANGE(""https://docs.google.com/spreadsheets/d/1QqKyyYR6Q21VydFLVH3TRQUabQu_ym0Zz7PgGX0-kHA/edit?usp=sharing"",""แผน!T55"")"),1)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IFERROR(__xludf.DUMMYFUNCTION("IMPORTRANGE(""https://docs.google.com/spreadsheets/d/1MeEWN-I1oV_STSDYn1IFDPWt_1FKiwhDph83XaGc0o0/edit?usp=sharing"",""งบพรบ!BA55"")"),0)</f>
        <v>0</v>
      </c>
      <c r="M124" s="90">
        <f ca="1">IFERROR(__xludf.DUMMYFUNCTION("IMPORTRANGE(""https://docs.google.com/spreadsheets/d/1MeEWN-I1oV_STSDYn1IFDPWt_1FKiwhDph83XaGc0o0/edit?usp=sharing"",""งบพรบ!BF55"")"),0)</f>
        <v>0</v>
      </c>
      <c r="N124" s="90">
        <f ca="1">IFERROR(__xludf.DUMMYFUNCTION("IMPORTRANGE(""https://docs.google.com/spreadsheets/d/1MeEWN-I1oV_STSDYn1IFDPWt_1FKiwhDph83XaGc0o0/edit?usp=sharing"",""งบพรบ!BH55"")"),0)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IFERROR(__xludf.DUMMYFUNCTION("IMPORTRANGE(""https://docs.google.com/spreadsheets/d/1MeEWN-I1oV_STSDYn1IFDPWt_1FKiwhDph83XaGc0o0/edit?usp=sharing"",""งบพรบ!BD55"")"),0)</f>
        <v>0</v>
      </c>
      <c r="M127" s="90">
        <f ca="1">IFERROR(__xludf.DUMMYFUNCTION("IMPORTRANGE(""https://docs.google.com/spreadsheets/d/1MeEWN-I1oV_STSDYn1IFDPWt_1FKiwhDph83XaGc0o0/edit?usp=sharing"",""งบพรบ!BG55"")"),0)</f>
        <v>0</v>
      </c>
      <c r="N127" s="90">
        <f ca="1">IFERROR(__xludf.DUMMYFUNCTION("IMPORTRANGE(""https://docs.google.com/spreadsheets/d/1MeEWN-I1oV_STSDYn1IFDPWt_1FKiwhDph83XaGc0o0/edit?usp=sharing"",""งบพรบ!BI55"")"),0)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1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10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151655</v>
      </c>
      <c r="M132" s="151">
        <f t="shared" ca="1" si="69"/>
        <v>133600</v>
      </c>
      <c r="N132" s="151">
        <f t="shared" ca="1" si="69"/>
        <v>104220</v>
      </c>
      <c r="O132" s="151">
        <f t="shared" ref="O132:O140" ca="1" si="70">IF(L132&gt;0,N132*100/L132,0)</f>
        <v>68.721769806468629</v>
      </c>
      <c r="P132" s="151">
        <f t="shared" ref="P132:P140" ca="1" si="71">IF(M132&gt;0,N132*100/M132,0)</f>
        <v>78.008982035928142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151655</v>
      </c>
      <c r="M134" s="90">
        <f t="shared" ca="1" si="72"/>
        <v>133600</v>
      </c>
      <c r="N134" s="90">
        <f t="shared" ca="1" si="72"/>
        <v>104220</v>
      </c>
      <c r="O134" s="90">
        <f t="shared" ca="1" si="70"/>
        <v>68.721769806468629</v>
      </c>
      <c r="P134" s="90">
        <f t="shared" ca="1" si="71"/>
        <v>78.008982035928142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48655</v>
      </c>
      <c r="M135" s="495">
        <f t="shared" ca="1" si="73"/>
        <v>30600</v>
      </c>
      <c r="N135" s="495">
        <f t="shared" ca="1" si="73"/>
        <v>1220</v>
      </c>
      <c r="O135" s="495">
        <f t="shared" ca="1" si="70"/>
        <v>2.5074504161956632</v>
      </c>
      <c r="P135" s="495">
        <f t="shared" ca="1" si="71"/>
        <v>3.9869281045751634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IFERROR(__xludf.DUMMYFUNCTION("IMPORTRANGE(""https://docs.google.com/spreadsheets/d/1MeEWN-I1oV_STSDYn1IFDPWt_1FKiwhDph83XaGc0o0/edit?usp=sharing"",""งบพรบ!BK55"")"),48655)</f>
        <v>48655</v>
      </c>
      <c r="M137" s="90">
        <f ca="1">IFERROR(__xludf.DUMMYFUNCTION("IMPORTRANGE(""https://docs.google.com/spreadsheets/d/1MeEWN-I1oV_STSDYn1IFDPWt_1FKiwhDph83XaGc0o0/edit?usp=sharing"",""งบพรบ!BP55"")"),30600)</f>
        <v>30600</v>
      </c>
      <c r="N137" s="90">
        <f ca="1">IFERROR(__xludf.DUMMYFUNCTION("IMPORTRANGE(""https://docs.google.com/spreadsheets/d/1MeEWN-I1oV_STSDYn1IFDPWt_1FKiwhDph83XaGc0o0/edit?usp=sharing"",""งบพรบ!BR55"")"),1220)</f>
        <v>1220</v>
      </c>
      <c r="O137" s="90">
        <f t="shared" ca="1" si="70"/>
        <v>2.5074504161956632</v>
      </c>
      <c r="P137" s="90">
        <f t="shared" ca="1" si="71"/>
        <v>3.9869281045751634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103000</v>
      </c>
      <c r="M138" s="495">
        <f t="shared" ca="1" si="74"/>
        <v>103000</v>
      </c>
      <c r="N138" s="495">
        <f t="shared" ca="1" si="74"/>
        <v>103000</v>
      </c>
      <c r="O138" s="495">
        <f t="shared" ca="1" si="70"/>
        <v>100</v>
      </c>
      <c r="P138" s="495">
        <f t="shared" ca="1" si="71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IFERROR(__xludf.DUMMYFUNCTION("IMPORTRANGE(""https://docs.google.com/spreadsheets/d/1MeEWN-I1oV_STSDYn1IFDPWt_1FKiwhDph83XaGc0o0/edit?usp=sharing"",""งบพรบ!BN55"")"),103000)</f>
        <v>103000</v>
      </c>
      <c r="M140" s="90">
        <f ca="1">IFERROR(__xludf.DUMMYFUNCTION("IMPORTRANGE(""https://docs.google.com/spreadsheets/d/1MeEWN-I1oV_STSDYn1IFDPWt_1FKiwhDph83XaGc0o0/edit?usp=sharing"",""งบพรบ!BQ55"")"),103000)</f>
        <v>103000</v>
      </c>
      <c r="N140" s="90">
        <f ca="1">IFERROR(__xludf.DUMMYFUNCTION("IMPORTRANGE(""https://docs.google.com/spreadsheets/d/1MeEWN-I1oV_STSDYn1IFDPWt_1FKiwhDph83XaGc0o0/edit?usp=sharing"",""งบพรบ!BS55"")"),103000)</f>
        <v>103000</v>
      </c>
      <c r="O140" s="90">
        <f t="shared" ca="1" si="70"/>
        <v>100</v>
      </c>
      <c r="P140" s="90">
        <f t="shared" ca="1" si="71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10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IFERROR(__xludf.DUMMYFUNCTION("IMPORTRANGE(""https://docs.google.com/spreadsheets/d/1QqKyyYR6Q21VydFLVH3TRQUabQu_ym0Zz7PgGX0-kHA/edit?usp=sharing"",""แผน!U55"")"),5)</f>
        <v>5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IFERROR(__xludf.DUMMYFUNCTION("IMPORTRANGE(""https://docs.google.com/spreadsheets/d/1QqKyyYR6Q21VydFLVH3TRQUabQu_ym0Zz7PgGX0-kHA/edit?usp=sharing"",""แผน!V55"")"),10)</f>
        <v>10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IFERROR(__xludf.DUMMYFUNCTION("IMPORTRANGE(""https://docs.google.com/spreadsheets/d/1QqKyyYR6Q21VydFLVH3TRQUabQu_ym0Zz7PgGX0-kHA/edit?usp=sharing"",""แผน!W55"")"),1)</f>
        <v>1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20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10000</v>
      </c>
      <c r="M149" s="151">
        <f t="shared" ca="1" si="77"/>
        <v>10000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10000</v>
      </c>
      <c r="M151" s="90">
        <f t="shared" ca="1" si="80"/>
        <v>10000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10000</v>
      </c>
      <c r="M152" s="495">
        <f t="shared" ca="1" si="81"/>
        <v>10000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IFERROR(__xludf.DUMMYFUNCTION("IMPORTRANGE(""https://docs.google.com/spreadsheets/d/1MeEWN-I1oV_STSDYn1IFDPWt_1FKiwhDph83XaGc0o0/edit?usp=sharing"",""งบพรบ!BU55"")"),10000)</f>
        <v>10000</v>
      </c>
      <c r="M154" s="90">
        <f ca="1">IFERROR(__xludf.DUMMYFUNCTION("IMPORTRANGE(""https://docs.google.com/spreadsheets/d/1MeEWN-I1oV_STSDYn1IFDPWt_1FKiwhDph83XaGc0o0/edit?usp=sharing"",""งบพรบ!BZ55"")"),10000)</f>
        <v>10000</v>
      </c>
      <c r="N154" s="90">
        <f ca="1">IFERROR(__xludf.DUMMYFUNCTION("IMPORTRANGE(""https://docs.google.com/spreadsheets/d/1MeEWN-I1oV_STSDYn1IFDPWt_1FKiwhDph83XaGc0o0/edit?usp=sharing"",""งบพรบ!CB55"")"),0)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IFERROR(__xludf.DUMMYFUNCTION("IMPORTRANGE(""https://docs.google.com/spreadsheets/d/1MeEWN-I1oV_STSDYn1IFDPWt_1FKiwhDph83XaGc0o0/edit?usp=sharing"",""งบพรบ!BX55"")"),0)</f>
        <v>0</v>
      </c>
      <c r="M157" s="90">
        <f ca="1">IFERROR(__xludf.DUMMYFUNCTION("IMPORTRANGE(""https://docs.google.com/spreadsheets/d/1MeEWN-I1oV_STSDYn1IFDPWt_1FKiwhDph83XaGc0o0/edit?usp=sharing"",""งบพรบ!CA55"")"),0)</f>
        <v>0</v>
      </c>
      <c r="N157" s="90">
        <f ca="1">IFERROR(__xludf.DUMMYFUNCTION("IMPORTRANGE(""https://docs.google.com/spreadsheets/d/1MeEWN-I1oV_STSDYn1IFDPWt_1FKiwhDph83XaGc0o0/edit?usp=sharing"",""งบพรบ!CC55"")"),0)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IFERROR(__xludf.DUMMYFUNCTION("IMPORTRANGE(""https://docs.google.com/spreadsheets/d/1QqKyyYR6Q21VydFLVH3TRQUabQu_ym0Zz7PgGX0-kHA/edit?usp=sharing"",""แผน!X55"")"),20)</f>
        <v>20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371">
        <f t="shared" ref="I164:J164" ca="1" si="83">I174+I177</f>
        <v>12</v>
      </c>
      <c r="J164" s="371">
        <f t="shared" si="83"/>
        <v>12</v>
      </c>
      <c r="K164" s="372">
        <f ca="1">IF(I164&gt;0,J164*100/I164,0)</f>
        <v>100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1">
        <f t="shared" ref="L165:N165" ca="1" si="84">L166+L167</f>
        <v>23060</v>
      </c>
      <c r="M165" s="151">
        <f t="shared" ca="1" si="84"/>
        <v>23060</v>
      </c>
      <c r="N165" s="151">
        <f t="shared" ca="1" si="84"/>
        <v>23060</v>
      </c>
      <c r="O165" s="151">
        <f t="shared" ref="O165:O173" ca="1" si="85">IF(L165&gt;0,N165*100/L165,0)</f>
        <v>100</v>
      </c>
      <c r="P165" s="151">
        <f t="shared" ref="P165:P173" ca="1" si="86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23060</v>
      </c>
      <c r="M167" s="90">
        <f t="shared" ca="1" si="87"/>
        <v>23060</v>
      </c>
      <c r="N167" s="90">
        <f t="shared" ca="1" si="87"/>
        <v>23060</v>
      </c>
      <c r="O167" s="90">
        <f t="shared" ca="1" si="85"/>
        <v>100</v>
      </c>
      <c r="P167" s="90">
        <f t="shared" ca="1" si="86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23060</v>
      </c>
      <c r="M168" s="495">
        <f t="shared" ca="1" si="88"/>
        <v>23060</v>
      </c>
      <c r="N168" s="495">
        <f t="shared" ca="1" si="88"/>
        <v>23060</v>
      </c>
      <c r="O168" s="495">
        <f t="shared" ca="1" si="85"/>
        <v>100</v>
      </c>
      <c r="P168" s="495">
        <f t="shared" ca="1" si="86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IFERROR(__xludf.DUMMYFUNCTION("IMPORTRANGE(""https://docs.google.com/spreadsheets/d/1MeEWN-I1oV_STSDYn1IFDPWt_1FKiwhDph83XaGc0o0/edit?usp=sharing"",""งบพรบ!CE55"")"),23060)</f>
        <v>23060</v>
      </c>
      <c r="M170" s="90">
        <f ca="1">IFERROR(__xludf.DUMMYFUNCTION("IMPORTRANGE(""https://docs.google.com/spreadsheets/d/1MeEWN-I1oV_STSDYn1IFDPWt_1FKiwhDph83XaGc0o0/edit?usp=sharing"",""งบพรบ!CJ55"")"),23060)</f>
        <v>23060</v>
      </c>
      <c r="N170" s="90">
        <f ca="1">IFERROR(__xludf.DUMMYFUNCTION("IMPORTRANGE(""https://docs.google.com/spreadsheets/d/1MeEWN-I1oV_STSDYn1IFDPWt_1FKiwhDph83XaGc0o0/edit?usp=sharing"",""งบพรบ!CL55"")"),23060)</f>
        <v>23060</v>
      </c>
      <c r="O170" s="90">
        <f t="shared" ca="1" si="85"/>
        <v>100</v>
      </c>
      <c r="P170" s="90">
        <f t="shared" ca="1" si="86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IFERROR(__xludf.DUMMYFUNCTION("IMPORTRANGE(""https://docs.google.com/spreadsheets/d/1MeEWN-I1oV_STSDYn1IFDPWt_1FKiwhDph83XaGc0o0/edit?usp=sharing"",""งบพรบ!CH55"")"),0)</f>
        <v>0</v>
      </c>
      <c r="M173" s="90">
        <f ca="1">IFERROR(__xludf.DUMMYFUNCTION("IMPORTRANGE(""https://docs.google.com/spreadsheets/d/1MeEWN-I1oV_STSDYn1IFDPWt_1FKiwhDph83XaGc0o0/edit?usp=sharing"",""งบพรบ!CK55"")"),0)</f>
        <v>0</v>
      </c>
      <c r="N173" s="90">
        <f ca="1">IFERROR(__xludf.DUMMYFUNCTION("IMPORTRANGE(""https://docs.google.com/spreadsheets/d/1MeEWN-I1oV_STSDYn1IFDPWt_1FKiwhDph83XaGc0o0/edit?usp=sharing"",""งบพรบ!CM55"")"),0)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12</v>
      </c>
      <c r="J174" s="255">
        <f t="shared" si="90"/>
        <v>12</v>
      </c>
      <c r="K174" s="256">
        <f ca="1">IF(I174&gt;0,J174*100/I174,0)</f>
        <v>100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IFERROR(__xludf.DUMMYFUNCTION("IMPORTRANGE(""https://docs.google.com/spreadsheets/d/1QqKyyYR6Q21VydFLVH3TRQUabQu_ym0Zz7PgGX0-kHA/edit?usp=sharing"",""แผน!Y55"")"),12)</f>
        <v>12</v>
      </c>
      <c r="J176" s="210">
        <v>12</v>
      </c>
      <c r="K176" s="159">
        <f ca="1">IF(I176&gt;0,J176*100/I176,0)</f>
        <v>100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371">
        <f t="shared" ref="I180:J180" ca="1" si="91">I225+I226</f>
        <v>70</v>
      </c>
      <c r="J180" s="371">
        <f t="shared" si="91"/>
        <v>20</v>
      </c>
      <c r="K180" s="372">
        <f ca="1">IF(I180&gt;0,J180*100/I180,0)</f>
        <v>28.571428571428573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1">
        <f t="shared" ref="L181:N181" ca="1" si="92">L182+L183</f>
        <v>633700</v>
      </c>
      <c r="M181" s="151">
        <f t="shared" ca="1" si="92"/>
        <v>282850</v>
      </c>
      <c r="N181" s="151">
        <f t="shared" ca="1" si="92"/>
        <v>129905.65</v>
      </c>
      <c r="O181" s="151">
        <f t="shared" ref="O181:O189" ca="1" si="93">IF(L181&gt;0,N181*100/L181,0)</f>
        <v>20.499550260375571</v>
      </c>
      <c r="P181" s="151">
        <f t="shared" ref="P181:P189" ca="1" si="94">IF(M181&gt;0,N181*100/M181,0)</f>
        <v>45.927399681810144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5">L185+L188</f>
        <v>0</v>
      </c>
      <c r="M182" s="90">
        <f t="shared" si="95"/>
        <v>0</v>
      </c>
      <c r="N182" s="90">
        <f t="shared" si="95"/>
        <v>0</v>
      </c>
      <c r="O182" s="90">
        <f t="shared" si="93"/>
        <v>0</v>
      </c>
      <c r="P182" s="90">
        <f t="shared" si="94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5"/>
        <v>633700</v>
      </c>
      <c r="M183" s="90">
        <f t="shared" ca="1" si="95"/>
        <v>282850</v>
      </c>
      <c r="N183" s="90">
        <f t="shared" ca="1" si="95"/>
        <v>129905.65</v>
      </c>
      <c r="O183" s="90">
        <f t="shared" ca="1" si="93"/>
        <v>20.499550260375571</v>
      </c>
      <c r="P183" s="90">
        <f t="shared" ca="1" si="94"/>
        <v>45.927399681810144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6">L185+L186</f>
        <v>633700</v>
      </c>
      <c r="M184" s="495">
        <f t="shared" ca="1" si="96"/>
        <v>282850</v>
      </c>
      <c r="N184" s="495">
        <f t="shared" ca="1" si="96"/>
        <v>129905.65</v>
      </c>
      <c r="O184" s="495">
        <f t="shared" ca="1" si="93"/>
        <v>20.499550260375571</v>
      </c>
      <c r="P184" s="495">
        <f t="shared" ca="1" si="94"/>
        <v>45.927399681810144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3"/>
        <v>0</v>
      </c>
      <c r="P185" s="90">
        <f t="shared" si="94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IFERROR(__xludf.DUMMYFUNCTION("IMPORTRANGE(""https://docs.google.com/spreadsheets/d/1MeEWN-I1oV_STSDYn1IFDPWt_1FKiwhDph83XaGc0o0/edit?usp=sharing"",""งบพรบ!CO55"")"),633700)</f>
        <v>633700</v>
      </c>
      <c r="M186" s="90">
        <f ca="1">IFERROR(__xludf.DUMMYFUNCTION("IMPORTRANGE(""https://docs.google.com/spreadsheets/d/1MeEWN-I1oV_STSDYn1IFDPWt_1FKiwhDph83XaGc0o0/edit?usp=sharing"",""งบพรบ!CT55"")"),282850)</f>
        <v>282850</v>
      </c>
      <c r="N186" s="90">
        <f ca="1">IFERROR(__xludf.DUMMYFUNCTION("IMPORTRANGE(""https://docs.google.com/spreadsheets/d/1MeEWN-I1oV_STSDYn1IFDPWt_1FKiwhDph83XaGc0o0/edit?usp=sharing"",""งบพรบ!CV55"")"),129905.65)</f>
        <v>129905.65</v>
      </c>
      <c r="O186" s="90">
        <f t="shared" ca="1" si="93"/>
        <v>20.499550260375571</v>
      </c>
      <c r="P186" s="90">
        <f t="shared" ca="1" si="94"/>
        <v>45.927399681810144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7">L188+L189</f>
        <v>0</v>
      </c>
      <c r="M187" s="495">
        <f t="shared" ca="1" si="97"/>
        <v>0</v>
      </c>
      <c r="N187" s="495">
        <f t="shared" ca="1" si="97"/>
        <v>0</v>
      </c>
      <c r="O187" s="495">
        <f t="shared" ca="1" si="93"/>
        <v>0</v>
      </c>
      <c r="P187" s="495">
        <f t="shared" ca="1" si="94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3"/>
        <v>0</v>
      </c>
      <c r="P188" s="90">
        <f t="shared" si="94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IFERROR(__xludf.DUMMYFUNCTION("IMPORTRANGE(""https://docs.google.com/spreadsheets/d/1MeEWN-I1oV_STSDYn1IFDPWt_1FKiwhDph83XaGc0o0/edit?usp=sharing"",""งบพรบ!CR55"")"),0)</f>
        <v>0</v>
      </c>
      <c r="M189" s="90">
        <f ca="1">IFERROR(__xludf.DUMMYFUNCTION("IMPORTRANGE(""https://docs.google.com/spreadsheets/d/1MeEWN-I1oV_STSDYn1IFDPWt_1FKiwhDph83XaGc0o0/edit?usp=sharing"",""งบพรบ!CU55"")"),0)</f>
        <v>0</v>
      </c>
      <c r="N189" s="90">
        <f ca="1">IFERROR(__xludf.DUMMYFUNCTION("IMPORTRANGE(""https://docs.google.com/spreadsheets/d/1MeEWN-I1oV_STSDYn1IFDPWt_1FKiwhDph83XaGc0o0/edit?usp=sharing"",""งบพรบ!CW55"")"),0)</f>
        <v>0</v>
      </c>
      <c r="O189" s="90">
        <f t="shared" ca="1" si="93"/>
        <v>0</v>
      </c>
      <c r="P189" s="90">
        <f t="shared" ca="1" si="94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8">I193</f>
        <v>4</v>
      </c>
      <c r="J190" s="266">
        <f t="shared" si="98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IFERROR(__xludf.DUMMYFUNCTION("IMPORTRANGE(""https://docs.google.com/spreadsheets/d/1QqKyyYR6Q21VydFLVH3TRQUabQu_ym0Zz7PgGX0-kHA/edit?usp=sharing"",""แผน!Z55"")"),6000)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IFERROR(__xludf.DUMMYFUNCTION("IMPORTRANGE(""https://docs.google.com/spreadsheets/d/1QqKyyYR6Q21VydFLVH3TRQUabQu_ym0Zz7PgGX0-kHA/edit?usp=sharing"",""แผน!AC55"")"),4)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9">I204</f>
        <v>3</v>
      </c>
      <c r="J197" s="266">
        <f t="shared" si="99"/>
        <v>3</v>
      </c>
      <c r="K197" s="267">
        <f ca="1">IF(I197&gt;0,J197*100/I197,0)</f>
        <v>100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39000</v>
      </c>
      <c r="M198" s="151"/>
      <c r="N198" s="151">
        <f>N199+N200+N201+N202</f>
        <v>25720</v>
      </c>
      <c r="O198" s="151">
        <f ca="1">IF(L198&gt;0,N198*100/L198,0)</f>
        <v>65.948717948717942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IFERROR(__xludf.DUMMYFUNCTION("IMPORTRANGE(""https://docs.google.com/spreadsheets/d/1QqKyyYR6Q21VydFLVH3TRQUabQu_ym0Zz7PgGX0-kHA/edit?usp=sharing"",""แผน!AE55"")"),3000)</f>
        <v>3000</v>
      </c>
      <c r="M199" s="495"/>
      <c r="N199" s="816">
        <v>1720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IFERROR(__xludf.DUMMYFUNCTION("IMPORTRANGE(""https://docs.google.com/spreadsheets/d/1QqKyyYR6Q21VydFLVH3TRQUabQu_ym0Zz7PgGX0-kHA/edit?usp=sharing"",""แผน!AF55"")"),24000)</f>
        <v>24000</v>
      </c>
      <c r="M200" s="495"/>
      <c r="N200" s="816">
        <v>24000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IFERROR(__xludf.DUMMYFUNCTION("IMPORTRANGE(""https://docs.google.com/spreadsheets/d/1QqKyyYR6Q21VydFLVH3TRQUabQu_ym0Zz7PgGX0-kHA/edit?usp=sharing"",""แผน!AG55"")"),12000)</f>
        <v>12000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IFERROR(__xludf.DUMMYFUNCTION("IMPORTRANGE(""https://docs.google.com/spreadsheets/d/1QqKyyYR6Q21VydFLVH3TRQUabQu_ym0Zz7PgGX0-kHA/edit?usp=sharing"",""แผน!AH55"")"),0)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IFERROR(__xludf.DUMMYFUNCTION("IMPORTRANGE(""https://docs.google.com/spreadsheets/d/1QqKyyYR6Q21VydFLVH3TRQUabQu_ym0Zz7PgGX0-kHA/edit?usp=sharing"",""แผน!AI55"")"),3)</f>
        <v>3</v>
      </c>
      <c r="J204" s="210">
        <v>3</v>
      </c>
      <c r="K204" s="159">
        <f ca="1">IF(I204&gt;0,J204*100/I204,0)</f>
        <v>100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3</v>
      </c>
      <c r="J206" s="210">
        <v>0</v>
      </c>
      <c r="K206" s="159">
        <f t="shared" ref="K206:K208" si="100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100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1">I215</f>
        <v>3</v>
      </c>
      <c r="J208" s="266">
        <f t="shared" si="101"/>
        <v>2</v>
      </c>
      <c r="K208" s="267">
        <f t="shared" ca="1" si="100"/>
        <v>66.666666666666671</v>
      </c>
      <c r="L208" s="256"/>
      <c r="M208" s="256"/>
      <c r="N208" s="256"/>
      <c r="O208" s="256"/>
      <c r="P208" s="256"/>
    </row>
    <row r="209" spans="1:26" ht="19.5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42000</v>
      </c>
      <c r="M209" s="151"/>
      <c r="N209" s="151">
        <f>N210+N211+N212</f>
        <v>17680</v>
      </c>
      <c r="O209" s="151">
        <f ca="1">IF(L209&gt;0,N209*100/L209,0)</f>
        <v>42.095238095238095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IFERROR(__xludf.DUMMYFUNCTION("IMPORTRANGE(""https://docs.google.com/spreadsheets/d/1QqKyyYR6Q21VydFLVH3TRQUabQu_ym0Zz7PgGX0-kHA/edit?usp=sharing"",""แผน!AK55"")"),3000)</f>
        <v>3000</v>
      </c>
      <c r="M210" s="495"/>
      <c r="N210" s="816">
        <v>1480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IFERROR(__xludf.DUMMYFUNCTION("IMPORTRANGE(""https://docs.google.com/spreadsheets/d/1QqKyyYR6Q21VydFLVH3TRQUabQu_ym0Zz7PgGX0-kHA/edit?usp=sharing"",""แผน!AL55"")"),15000)</f>
        <v>15000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IFERROR(__xludf.DUMMYFUNCTION("IMPORTRANGE(""https://docs.google.com/spreadsheets/d/1QqKyyYR6Q21VydFLVH3TRQUabQu_ym0Zz7PgGX0-kHA/edit?usp=sharing"",""แผน!AM55"")"),24000)</f>
        <v>24000</v>
      </c>
      <c r="M212" s="495"/>
      <c r="N212" s="816">
        <v>16200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IFERROR(__xludf.DUMMYFUNCTION("IMPORTRANGE(""https://docs.google.com/spreadsheets/d/1QqKyyYR6Q21VydFLVH3TRQUabQu_ym0Zz7PgGX0-kHA/edit?usp=sharing"",""แผน!AN55"")"),3)</f>
        <v>3</v>
      </c>
      <c r="J214" s="210">
        <v>0</v>
      </c>
      <c r="K214" s="495">
        <f t="shared" ref="K214:K216" ca="1" si="102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IFERROR(__xludf.DUMMYFUNCTION("IMPORTRANGE(""https://docs.google.com/spreadsheets/d/1QqKyyYR6Q21VydFLVH3TRQUabQu_ym0Zz7PgGX0-kHA/edit?usp=sharing"",""แผน!AN55"")"),3)</f>
        <v>3</v>
      </c>
      <c r="J215" s="210">
        <v>2</v>
      </c>
      <c r="K215" s="495">
        <f t="shared" ca="1" si="102"/>
        <v>66.666666666666671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3">I224</f>
        <v>40000</v>
      </c>
      <c r="J216" s="266">
        <f t="shared" si="103"/>
        <v>0</v>
      </c>
      <c r="K216" s="267">
        <f t="shared" ca="1" si="102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25000</v>
      </c>
      <c r="M217" s="151"/>
      <c r="N217" s="151">
        <f>N218+N219+N220</f>
        <v>10000</v>
      </c>
      <c r="O217" s="151">
        <f ca="1">IF(L217&gt;0,N217*100/L217,0)</f>
        <v>40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IFERROR(__xludf.DUMMYFUNCTION("IMPORTRANGE(""https://docs.google.com/spreadsheets/d/1QqKyyYR6Q21VydFLVH3TRQUabQu_ym0Zz7PgGX0-kHA/edit?usp=sharing"",""แผน!AP55"")"),5000)</f>
        <v>5000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IFERROR(__xludf.DUMMYFUNCTION("IMPORTRANGE(""https://docs.google.com/spreadsheets/d/1QqKyyYR6Q21VydFLVH3TRQUabQu_ym0Zz7PgGX0-kHA/edit?usp=sharing"",""แผน!AQ55"")"),10000)</f>
        <v>10000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IFERROR(__xludf.DUMMYFUNCTION("IMPORTRANGE(""https://docs.google.com/spreadsheets/d/1QqKyyYR6Q21VydFLVH3TRQUabQu_ym0Zz7PgGX0-kHA/edit?usp=sharing"",""แผน!AR55"")"),10000)</f>
        <v>10000</v>
      </c>
      <c r="M220" s="495"/>
      <c r="N220" s="816">
        <v>10000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IFERROR(__xludf.DUMMYFUNCTION("IMPORTRANGE(""https://docs.google.com/spreadsheets/d/1QqKyyYR6Q21VydFLVH3TRQUabQu_ym0Zz7PgGX0-kHA/edit?usp=sharing"",""แผน!AT55"")"),40000)</f>
        <v>40000</v>
      </c>
      <c r="J223" s="210">
        <v>0</v>
      </c>
      <c r="K223" s="159">
        <f t="shared" ref="K223:K226" ca="1" si="104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IFERROR(__xludf.DUMMYFUNCTION("IMPORTRANGE(""https://docs.google.com/spreadsheets/d/1QqKyyYR6Q21VydFLVH3TRQUabQu_ym0Zz7PgGX0-kHA/edit?usp=sharing"",""แผน!AT55"")"),40000)</f>
        <v>40000</v>
      </c>
      <c r="J224" s="210">
        <v>0</v>
      </c>
      <c r="K224" s="159">
        <f t="shared" ca="1" si="104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IFERROR(__xludf.DUMMYFUNCTION("IMPORTRANGE(""https://docs.google.com/spreadsheets/d/1QqKyyYR6Q21VydFLVH3TRQUabQu_ym0Zz7PgGX0-kHA/edit?usp=sharing"",""แผน!AS55"")"),10)</f>
        <v>10</v>
      </c>
      <c r="J225" s="210">
        <v>10</v>
      </c>
      <c r="K225" s="159">
        <f t="shared" ca="1" si="104"/>
        <v>100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>
        <f t="shared" ref="I226:J226" ca="1" si="105">I237+I248</f>
        <v>60</v>
      </c>
      <c r="J226" s="340">
        <f t="shared" si="105"/>
        <v>10</v>
      </c>
      <c r="K226" s="341">
        <f t="shared" ca="1" si="104"/>
        <v>16.666666666666668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6">L238+L249</f>
        <v>368000</v>
      </c>
      <c r="M227" s="351"/>
      <c r="N227" s="351">
        <f t="shared" ref="N227:N231" si="107">N238+N249</f>
        <v>29073.34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6"/>
        <v>183000</v>
      </c>
      <c r="M228" s="90"/>
      <c r="N228" s="90">
        <f t="shared" si="107"/>
        <v>15033.34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6"/>
        <v>70000</v>
      </c>
      <c r="M229" s="90"/>
      <c r="N229" s="90">
        <f t="shared" si="107"/>
        <v>14040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6"/>
        <v>45000</v>
      </c>
      <c r="M230" s="90"/>
      <c r="N230" s="90">
        <f t="shared" si="107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6"/>
        <v>70000</v>
      </c>
      <c r="M231" s="90"/>
      <c r="N231" s="90">
        <f t="shared" si="107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>
        <f t="shared" ref="I233:J233" ca="1" si="108">I244+I255</f>
        <v>60</v>
      </c>
      <c r="J233" s="609">
        <f t="shared" si="108"/>
        <v>10</v>
      </c>
      <c r="K233" s="90">
        <f ca="1">IF(I233&gt;0,J233*100/I233,0)</f>
        <v>16.666666666666668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9">I246+I257</f>
        <v>60</v>
      </c>
      <c r="J235" s="609">
        <f t="shared" si="109"/>
        <v>0</v>
      </c>
      <c r="K235" s="90">
        <f t="shared" ref="K235:K237" si="110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9"/>
        <v>2</v>
      </c>
      <c r="J236" s="609">
        <f t="shared" si="109"/>
        <v>0</v>
      </c>
      <c r="K236" s="90">
        <f t="shared" si="110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335</v>
      </c>
      <c r="D237" s="251"/>
      <c r="E237" s="251"/>
      <c r="F237" s="251"/>
      <c r="G237" s="253"/>
      <c r="H237" s="254" t="s">
        <v>35</v>
      </c>
      <c r="I237" s="266">
        <f t="shared" ref="I237:J237" ca="1" si="111">I244</f>
        <v>30</v>
      </c>
      <c r="J237" s="266">
        <f t="shared" si="111"/>
        <v>10</v>
      </c>
      <c r="K237" s="267">
        <f t="shared" ca="1" si="110"/>
        <v>33.333333333333336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239900</v>
      </c>
      <c r="M238" s="151"/>
      <c r="N238" s="151">
        <f>N239+N240+N241+N242</f>
        <v>29073.34</v>
      </c>
      <c r="O238" s="151">
        <f ca="1">IF(L238&gt;0,N238*100/L238,0)</f>
        <v>12.11894122551063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IFERROR(__xludf.DUMMYFUNCTION("IMPORTRANGE(""https://docs.google.com/spreadsheets/d/1QqKyyYR6Q21VydFLVH3TRQUabQu_ym0Zz7PgGX0-kHA/edit?usp=sharing"",""แผน!AV55"")"),163000)</f>
        <v>163000</v>
      </c>
      <c r="M239" s="317"/>
      <c r="N239" s="832">
        <f>12133.34+2900</f>
        <v>15033.34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IFERROR(__xludf.DUMMYFUNCTION("IMPORTRANGE(""https://docs.google.com/spreadsheets/d/1QqKyyYR6Q21VydFLVH3TRQUabQu_ym0Zz7PgGX0-kHA/edit?usp=sharing"",""แผน!AW55"")"),31900)</f>
        <v>31900</v>
      </c>
      <c r="M240" s="317"/>
      <c r="N240" s="832">
        <v>14040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IFERROR(__xludf.DUMMYFUNCTION("IMPORTRANGE(""https://docs.google.com/spreadsheets/d/1QqKyyYR6Q21VydFLVH3TRQUabQu_ym0Zz7PgGX0-kHA/edit?usp=sharing"",""แผน!AX55"")"),35000)</f>
        <v>35000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IFERROR(__xludf.DUMMYFUNCTION("IMPORTRANGE(""https://docs.google.com/spreadsheets/d/1QqKyyYR6Q21VydFLVH3TRQUabQu_ym0Zz7PgGX0-kHA/edit?usp=sharing"",""แผน!AY55"")"),10000)</f>
        <v>10000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IFERROR(__xludf.DUMMYFUNCTION("IMPORTRANGE(""https://docs.google.com/spreadsheets/d/1QqKyyYR6Q21VydFLVH3TRQUabQu_ym0Zz7PgGX0-kHA/edit?usp=sharing"",""แผน!BE55"")"),30)</f>
        <v>30</v>
      </c>
      <c r="J244" s="210">
        <v>10</v>
      </c>
      <c r="K244" s="495">
        <f ca="1">IF(I244&gt;0,J244*100/I244,0)</f>
        <v>33.333333333333336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30</v>
      </c>
      <c r="J246" s="210">
        <v>0</v>
      </c>
      <c r="K246" s="495">
        <f t="shared" ref="K246:K248" si="112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2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>
      <c r="A248" s="250"/>
      <c r="B248" s="258"/>
      <c r="C248" s="265" t="s">
        <v>336</v>
      </c>
      <c r="D248" s="251"/>
      <c r="E248" s="251"/>
      <c r="F248" s="251"/>
      <c r="G248" s="253"/>
      <c r="H248" s="254" t="s">
        <v>35</v>
      </c>
      <c r="I248" s="266">
        <f t="shared" ref="I248:J248" ca="1" si="113">I255</f>
        <v>30</v>
      </c>
      <c r="J248" s="266">
        <f t="shared" si="113"/>
        <v>0</v>
      </c>
      <c r="K248" s="267">
        <f t="shared" ca="1" si="112"/>
        <v>0</v>
      </c>
      <c r="L248" s="256"/>
      <c r="M248" s="256"/>
      <c r="N248" s="256"/>
      <c r="O248" s="256"/>
      <c r="P248" s="256"/>
    </row>
    <row r="249" spans="1:26" ht="19.5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128100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IFERROR(__xludf.DUMMYFUNCTION("IMPORTRANGE(""https://docs.google.com/spreadsheets/d/1QqKyyYR6Q21VydFLVH3TRQUabQu_ym0Zz7PgGX0-kHA/edit?usp=sharing"",""แผน!AZ55"")"),20000)</f>
        <v>20000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IFERROR(__xludf.DUMMYFUNCTION("IMPORTRANGE(""https://docs.google.com/spreadsheets/d/1QqKyyYR6Q21VydFLVH3TRQUabQu_ym0Zz7PgGX0-kHA/edit?usp=sharing"",""แผน!BA55"")"),38100)</f>
        <v>38100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IFERROR(__xludf.DUMMYFUNCTION("IMPORTRANGE(""https://docs.google.com/spreadsheets/d/1QqKyyYR6Q21VydFLVH3TRQUabQu_ym0Zz7PgGX0-kHA/edit?usp=sharing"",""แผน!BB55"")"),10000)</f>
        <v>10000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IFERROR(__xludf.DUMMYFUNCTION("IMPORTRANGE(""https://docs.google.com/spreadsheets/d/1QqKyyYR6Q21VydFLVH3TRQUabQu_ym0Zz7PgGX0-kHA/edit?usp=sharing"",""แผน!BC55"")"),60000)</f>
        <v>60000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>
        <f ca="1">IFERROR(__xludf.DUMMYFUNCTION("IMPORTRANGE(""https://docs.google.com/spreadsheets/d/1QqKyyYR6Q21VydFLVH3TRQUabQu_ym0Zz7PgGX0-kHA/edit?usp=sharing"",""แผน!BF55"")"),30)</f>
        <v>30</v>
      </c>
      <c r="J255" s="210">
        <v>0</v>
      </c>
      <c r="K255" s="495">
        <f ca="1">IF(I255&gt;0,J255*100/I255,0)</f>
        <v>0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>
        <v>30</v>
      </c>
      <c r="J257" s="210">
        <v>0</v>
      </c>
      <c r="K257" s="495">
        <f t="shared" ref="K257:K258" si="114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>
        <v>1</v>
      </c>
      <c r="J258" s="210">
        <v>0</v>
      </c>
      <c r="K258" s="495">
        <f t="shared" si="114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5">I271</f>
        <v>22</v>
      </c>
      <c r="J260" s="371">
        <f t="shared" si="115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6">L262+L263</f>
        <v>26900</v>
      </c>
      <c r="M261" s="151">
        <f t="shared" ca="1" si="116"/>
        <v>0</v>
      </c>
      <c r="N261" s="151">
        <f t="shared" ca="1" si="116"/>
        <v>0</v>
      </c>
      <c r="O261" s="151">
        <f t="shared" ref="O261:O269" ca="1" si="117">IF(L261&gt;0,N261*100/L261,0)</f>
        <v>0</v>
      </c>
      <c r="P261" s="151">
        <f t="shared" ref="P261:P269" ca="1" si="118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9">L265+L268</f>
        <v>0</v>
      </c>
      <c r="M262" s="90">
        <f t="shared" si="119"/>
        <v>0</v>
      </c>
      <c r="N262" s="90">
        <f t="shared" si="119"/>
        <v>0</v>
      </c>
      <c r="O262" s="90">
        <f t="shared" si="117"/>
        <v>0</v>
      </c>
      <c r="P262" s="90">
        <f t="shared" si="118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9"/>
        <v>26900</v>
      </c>
      <c r="M263" s="90">
        <f t="shared" ca="1" si="119"/>
        <v>0</v>
      </c>
      <c r="N263" s="90">
        <f t="shared" ca="1" si="119"/>
        <v>0</v>
      </c>
      <c r="O263" s="90">
        <f t="shared" ca="1" si="117"/>
        <v>0</v>
      </c>
      <c r="P263" s="90">
        <f t="shared" ca="1" si="118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20">L265+L266</f>
        <v>26900</v>
      </c>
      <c r="M264" s="495">
        <f t="shared" ca="1" si="120"/>
        <v>0</v>
      </c>
      <c r="N264" s="495">
        <f t="shared" ca="1" si="120"/>
        <v>0</v>
      </c>
      <c r="O264" s="495">
        <f t="shared" ca="1" si="117"/>
        <v>0</v>
      </c>
      <c r="P264" s="495">
        <f t="shared" ca="1" si="118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7"/>
        <v>0</v>
      </c>
      <c r="P265" s="90">
        <f t="shared" si="118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IFERROR(__xludf.DUMMYFUNCTION("IMPORTRANGE(""https://docs.google.com/spreadsheets/d/1MeEWN-I1oV_STSDYn1IFDPWt_1FKiwhDph83XaGc0o0/edit?usp=sharing"",""งบพรบ!CY55"")"),26900)</f>
        <v>26900</v>
      </c>
      <c r="M266" s="90">
        <f ca="1">IFERROR(__xludf.DUMMYFUNCTION("IMPORTRANGE(""https://docs.google.com/spreadsheets/d/1MeEWN-I1oV_STSDYn1IFDPWt_1FKiwhDph83XaGc0o0/edit?usp=sharing"",""งบพรบ!DD55"")"),0)</f>
        <v>0</v>
      </c>
      <c r="N266" s="90">
        <f ca="1">IFERROR(__xludf.DUMMYFUNCTION("IMPORTRANGE(""https://docs.google.com/spreadsheets/d/1MeEWN-I1oV_STSDYn1IFDPWt_1FKiwhDph83XaGc0o0/edit?usp=sharing"",""งบพรบ!DF55"")"),0)</f>
        <v>0</v>
      </c>
      <c r="O266" s="90">
        <f t="shared" ca="1" si="117"/>
        <v>0</v>
      </c>
      <c r="P266" s="90">
        <f t="shared" ca="1" si="118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1">L268+L269</f>
        <v>0</v>
      </c>
      <c r="M267" s="495">
        <f t="shared" ca="1" si="121"/>
        <v>0</v>
      </c>
      <c r="N267" s="495">
        <f t="shared" ca="1" si="121"/>
        <v>0</v>
      </c>
      <c r="O267" s="495">
        <f t="shared" ca="1" si="117"/>
        <v>0</v>
      </c>
      <c r="P267" s="495">
        <f t="shared" ca="1" si="118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7"/>
        <v>0</v>
      </c>
      <c r="P268" s="90">
        <f t="shared" si="118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IFERROR(__xludf.DUMMYFUNCTION("IMPORTRANGE(""https://docs.google.com/spreadsheets/d/1MeEWN-I1oV_STSDYn1IFDPWt_1FKiwhDph83XaGc0o0/edit?usp=sharing"",""งบพรบ!DB55"")"),0)</f>
        <v>0</v>
      </c>
      <c r="M269" s="90">
        <f ca="1">IFERROR(__xludf.DUMMYFUNCTION("IMPORTRANGE(""https://docs.google.com/spreadsheets/d/1MeEWN-I1oV_STSDYn1IFDPWt_1FKiwhDph83XaGc0o0/edit?usp=sharing"",""งบพรบ!DE55"")"),0)</f>
        <v>0</v>
      </c>
      <c r="N269" s="90">
        <f ca="1">IFERROR(__xludf.DUMMYFUNCTION("IMPORTRANGE(""https://docs.google.com/spreadsheets/d/1MeEWN-I1oV_STSDYn1IFDPWt_1FKiwhDph83XaGc0o0/edit?usp=sharing"",""งบพรบ!DG55"")"),0)</f>
        <v>0</v>
      </c>
      <c r="O269" s="90">
        <f t="shared" ca="1" si="117"/>
        <v>0</v>
      </c>
      <c r="P269" s="90">
        <f t="shared" ca="1" si="118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IFERROR(__xludf.DUMMYFUNCTION("IMPORTRANGE(""https://docs.google.com/spreadsheets/d/1QqKyyYR6Q21VydFLVH3TRQUabQu_ym0Zz7PgGX0-kHA/edit?usp=sharing"",""แผน!EA55"")"),22)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2">I288</f>
        <v>5</v>
      </c>
      <c r="J275" s="403">
        <f t="shared" ca="1" si="122"/>
        <v>0</v>
      </c>
      <c r="K275" s="404">
        <f t="shared" ref="K275:K276" ca="1" si="123">IF(I275&gt;0,J275*100/I275,0)</f>
        <v>0</v>
      </c>
      <c r="L275" s="405"/>
      <c r="M275" s="405"/>
      <c r="N275" s="405"/>
      <c r="O275" s="405"/>
      <c r="P275" s="405"/>
    </row>
    <row r="276" spans="1:26" ht="19.5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4">I287</f>
        <v>50</v>
      </c>
      <c r="J276" s="407">
        <f t="shared" si="124"/>
        <v>50</v>
      </c>
      <c r="K276" s="405">
        <f t="shared" ca="1" si="123"/>
        <v>100</v>
      </c>
      <c r="L276" s="405"/>
      <c r="M276" s="405"/>
      <c r="N276" s="405"/>
      <c r="O276" s="405"/>
      <c r="P276" s="405"/>
    </row>
    <row r="277" spans="1:26" ht="19.5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5">L278+L279</f>
        <v>22630</v>
      </c>
      <c r="M277" s="151">
        <f t="shared" ca="1" si="125"/>
        <v>9410</v>
      </c>
      <c r="N277" s="151">
        <f t="shared" ca="1" si="125"/>
        <v>9020</v>
      </c>
      <c r="O277" s="151">
        <f t="shared" ref="O277:O285" ca="1" si="126">IF(L277&gt;0,N277*100/L277,0)</f>
        <v>39.858594785682719</v>
      </c>
      <c r="P277" s="151">
        <f t="shared" ref="P277:P285" ca="1" si="127">IF(M277&gt;0,N277*100/M277,0)</f>
        <v>95.855472901168966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8">L281+L284</f>
        <v>0</v>
      </c>
      <c r="M278" s="90">
        <f t="shared" si="128"/>
        <v>0</v>
      </c>
      <c r="N278" s="90">
        <f t="shared" si="128"/>
        <v>0</v>
      </c>
      <c r="O278" s="90">
        <f t="shared" si="126"/>
        <v>0</v>
      </c>
      <c r="P278" s="90">
        <f t="shared" si="127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8"/>
        <v>22630</v>
      </c>
      <c r="M279" s="90">
        <f t="shared" ca="1" si="128"/>
        <v>9410</v>
      </c>
      <c r="N279" s="90">
        <f t="shared" ca="1" si="128"/>
        <v>9020</v>
      </c>
      <c r="O279" s="90">
        <f t="shared" ca="1" si="126"/>
        <v>39.858594785682719</v>
      </c>
      <c r="P279" s="90">
        <f t="shared" ca="1" si="127"/>
        <v>95.855472901168966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9">L281+L282</f>
        <v>22630</v>
      </c>
      <c r="M280" s="495">
        <f t="shared" ca="1" si="129"/>
        <v>9410</v>
      </c>
      <c r="N280" s="495">
        <f t="shared" ca="1" si="129"/>
        <v>9020</v>
      </c>
      <c r="O280" s="495">
        <f t="shared" ca="1" si="126"/>
        <v>39.858594785682719</v>
      </c>
      <c r="P280" s="495">
        <f t="shared" ca="1" si="127"/>
        <v>95.855472901168966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6"/>
        <v>0</v>
      </c>
      <c r="P281" s="90">
        <f t="shared" si="127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IFERROR(__xludf.DUMMYFUNCTION("IMPORTRANGE(""https://docs.google.com/spreadsheets/d/1MeEWN-I1oV_STSDYn1IFDPWt_1FKiwhDph83XaGc0o0/edit?usp=sharing"",""งบพรบ!DI55"")"),22630)</f>
        <v>22630</v>
      </c>
      <c r="M282" s="90">
        <f ca="1">IFERROR(__xludf.DUMMYFUNCTION("IMPORTRANGE(""https://docs.google.com/spreadsheets/d/1MeEWN-I1oV_STSDYn1IFDPWt_1FKiwhDph83XaGc0o0/edit?usp=sharing"",""งบพรบ!DN55"")"),9410)</f>
        <v>9410</v>
      </c>
      <c r="N282" s="90">
        <f ca="1">IFERROR(__xludf.DUMMYFUNCTION("IMPORTRANGE(""https://docs.google.com/spreadsheets/d/1MeEWN-I1oV_STSDYn1IFDPWt_1FKiwhDph83XaGc0o0/edit?usp=sharing"",""งบพรบ!DP55"")"),9020)</f>
        <v>9020</v>
      </c>
      <c r="O282" s="90">
        <f t="shared" ca="1" si="126"/>
        <v>39.858594785682719</v>
      </c>
      <c r="P282" s="90">
        <f t="shared" ca="1" si="127"/>
        <v>95.855472901168966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30">L284+L285</f>
        <v>0</v>
      </c>
      <c r="M283" s="495">
        <f t="shared" ca="1" si="130"/>
        <v>0</v>
      </c>
      <c r="N283" s="495">
        <f t="shared" ca="1" si="130"/>
        <v>0</v>
      </c>
      <c r="O283" s="495">
        <f t="shared" ca="1" si="126"/>
        <v>0</v>
      </c>
      <c r="P283" s="495">
        <f t="shared" ca="1" si="127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6"/>
        <v>0</v>
      </c>
      <c r="P284" s="90">
        <f t="shared" si="127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IFERROR(__xludf.DUMMYFUNCTION("IMPORTRANGE(""https://docs.google.com/spreadsheets/d/1MeEWN-I1oV_STSDYn1IFDPWt_1FKiwhDph83XaGc0o0/edit?usp=sharing"",""งบพรบ!DL55"")"),0)</f>
        <v>0</v>
      </c>
      <c r="M285" s="90">
        <f ca="1">IFERROR(__xludf.DUMMYFUNCTION("IMPORTRANGE(""https://docs.google.com/spreadsheets/d/1MeEWN-I1oV_STSDYn1IFDPWt_1FKiwhDph83XaGc0o0/edit?usp=sharing"",""งบพรบ!DO55"")"),0)</f>
        <v>0</v>
      </c>
      <c r="N285" s="90">
        <f ca="1">IFERROR(__xludf.DUMMYFUNCTION("IMPORTRANGE(""https://docs.google.com/spreadsheets/d/1MeEWN-I1oV_STSDYn1IFDPWt_1FKiwhDph83XaGc0o0/edit?usp=sharing"",""งบพรบ!DQ55"")"),0)</f>
        <v>0</v>
      </c>
      <c r="O285" s="90">
        <f t="shared" ca="1" si="126"/>
        <v>0</v>
      </c>
      <c r="P285" s="90">
        <f t="shared" ca="1" si="127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IFERROR(__xludf.DUMMYFUNCTION("IMPORTRANGE(""https://docs.google.com/spreadsheets/d/1QqKyyYR6Q21VydFLVH3TRQUabQu_ym0Zz7PgGX0-kHA/edit?usp=sharing"",""แผน!EC55"")"),50)</f>
        <v>50</v>
      </c>
      <c r="J287" s="210">
        <v>50</v>
      </c>
      <c r="K287" s="159">
        <f t="shared" ref="K287:K288" ca="1" si="131">IF(I287&gt;0,J287*100/I287,0)</f>
        <v>100</v>
      </c>
      <c r="L287" s="159"/>
      <c r="M287" s="159"/>
      <c r="N287" s="159"/>
      <c r="O287" s="159"/>
      <c r="P287" s="159"/>
    </row>
    <row r="288" spans="1:26" ht="19.5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IFERROR(__xludf.DUMMYFUNCTION("IMPORTRANGE(""https://docs.google.com/spreadsheets/d/1QqKyyYR6Q21VydFLVH3TRQUabQu_ym0Zz7PgGX0-kHA/edit?usp=sharing"",""แผน!EB55"")"),5)</f>
        <v>5</v>
      </c>
      <c r="J288" s="673">
        <f ca="1">IF(AND(J291&gt;=I288,J294&gt;=I288),J294,0)</f>
        <v>0</v>
      </c>
      <c r="K288" s="409">
        <f t="shared" ca="1" si="131"/>
        <v>0</v>
      </c>
      <c r="L288" s="159"/>
      <c r="M288" s="159"/>
      <c r="N288" s="159"/>
      <c r="O288" s="159"/>
      <c r="P288" s="159"/>
    </row>
    <row r="289" spans="1:26" ht="19.5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IFERROR(__xludf.DUMMYFUNCTION("IMPORTRANGE(""https://docs.google.com/spreadsheets/d/1QqKyyYR6Q21VydFLVH3TRQUabQu_ym0Zz7PgGX0-kHA/edit?usp=sharing"",""แผน!EB55"")"),5)</f>
        <v>5</v>
      </c>
      <c r="J290" s="210">
        <v>5</v>
      </c>
      <c r="K290" s="159">
        <f t="shared" ref="K290:K291" ca="1" si="132">IF(I290&gt;0,J290*100/I290,0)</f>
        <v>100</v>
      </c>
      <c r="L290" s="159"/>
      <c r="M290" s="159"/>
      <c r="N290" s="159"/>
      <c r="O290" s="159"/>
      <c r="P290" s="159"/>
    </row>
    <row r="291" spans="1:26" ht="19.5">
      <c r="A291" s="166"/>
      <c r="B291" s="167"/>
      <c r="C291" s="167"/>
      <c r="D291" s="174"/>
      <c r="E291" s="618" t="s">
        <v>133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IFERROR(__xludf.DUMMYFUNCTION("IMPORTRANGE(""https://docs.google.com/spreadsheets/d/1QqKyyYR6Q21VydFLVH3TRQUabQu_ym0Zz7PgGX0-kHA/edit?usp=sharing"",""แผน!EB55"")"),5)</f>
        <v>5</v>
      </c>
      <c r="J291" s="210">
        <v>5</v>
      </c>
      <c r="K291" s="159">
        <f t="shared" ca="1" si="132"/>
        <v>100</v>
      </c>
      <c r="L291" s="159"/>
      <c r="M291" s="159"/>
      <c r="N291" s="159"/>
      <c r="O291" s="159"/>
      <c r="P291" s="159"/>
    </row>
    <row r="292" spans="1:26" ht="19.5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IFERROR(__xludf.DUMMYFUNCTION("IMPORTRANGE(""https://docs.google.com/spreadsheets/d/1QqKyyYR6Q21VydFLVH3TRQUabQu_ym0Zz7PgGX0-kHA/edit?usp=sharing"",""แผน!EB55"")"),5)</f>
        <v>5</v>
      </c>
      <c r="J293" s="210">
        <v>0</v>
      </c>
      <c r="K293" s="159">
        <f t="shared" ref="K293:K294" ca="1" si="133">IF(I293&gt;0,J293*100/I293,0)</f>
        <v>0</v>
      </c>
      <c r="L293" s="159"/>
      <c r="M293" s="159"/>
      <c r="N293" s="159"/>
      <c r="O293" s="159"/>
      <c r="P293" s="159"/>
    </row>
    <row r="294" spans="1:26" ht="19.5">
      <c r="A294" s="375"/>
      <c r="B294" s="376"/>
      <c r="C294" s="376"/>
      <c r="D294" s="378"/>
      <c r="E294" s="724" t="s">
        <v>136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IFERROR(__xludf.DUMMYFUNCTION("IMPORTRANGE(""https://docs.google.com/spreadsheets/d/1QqKyyYR6Q21VydFLVH3TRQUabQu_ym0Zz7PgGX0-kHA/edit?usp=sharing"",""แผน!EB55"")"),5)</f>
        <v>5</v>
      </c>
      <c r="J294" s="422">
        <v>0</v>
      </c>
      <c r="K294" s="382">
        <f t="shared" ca="1" si="133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4">I309</f>
        <v>20</v>
      </c>
      <c r="J297" s="442">
        <f t="shared" si="134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5">L299+L300</f>
        <v>225400</v>
      </c>
      <c r="M298" s="151">
        <f t="shared" ca="1" si="135"/>
        <v>114120</v>
      </c>
      <c r="N298" s="151">
        <f t="shared" ca="1" si="135"/>
        <v>62543.38</v>
      </c>
      <c r="O298" s="151">
        <f t="shared" ref="O298:O306" ca="1" si="136">IF(L298&gt;0,N298*100/L298,0)</f>
        <v>27.747728482697426</v>
      </c>
      <c r="P298" s="151">
        <f t="shared" ref="P298:P306" ca="1" si="137">IF(M298&gt;0,N298*100/M298,0)</f>
        <v>54.804924640729055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8">L302+L305</f>
        <v>0</v>
      </c>
      <c r="M299" s="90">
        <f t="shared" si="138"/>
        <v>0</v>
      </c>
      <c r="N299" s="90">
        <f t="shared" si="138"/>
        <v>0</v>
      </c>
      <c r="O299" s="90">
        <f t="shared" si="136"/>
        <v>0</v>
      </c>
      <c r="P299" s="90">
        <f t="shared" si="137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8"/>
        <v>225400</v>
      </c>
      <c r="M300" s="90">
        <f t="shared" ca="1" si="138"/>
        <v>114120</v>
      </c>
      <c r="N300" s="90">
        <f t="shared" ca="1" si="138"/>
        <v>62543.38</v>
      </c>
      <c r="O300" s="90">
        <f t="shared" ca="1" si="136"/>
        <v>27.747728482697426</v>
      </c>
      <c r="P300" s="90">
        <f t="shared" ca="1" si="137"/>
        <v>54.804924640729055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9">L302+L303</f>
        <v>225400</v>
      </c>
      <c r="M301" s="495">
        <f t="shared" ca="1" si="139"/>
        <v>114120</v>
      </c>
      <c r="N301" s="495">
        <f t="shared" ca="1" si="139"/>
        <v>62543.38</v>
      </c>
      <c r="O301" s="495">
        <f t="shared" ca="1" si="136"/>
        <v>27.747728482697426</v>
      </c>
      <c r="P301" s="495">
        <f t="shared" ca="1" si="137"/>
        <v>54.804924640729055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6"/>
        <v>0</v>
      </c>
      <c r="P302" s="90">
        <f t="shared" si="137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IFERROR(__xludf.DUMMYFUNCTION("IMPORTRANGE(""https://docs.google.com/spreadsheets/d/1MeEWN-I1oV_STSDYn1IFDPWt_1FKiwhDph83XaGc0o0/edit?usp=sharing"",""งบพรบ!DS55"")"),225400)</f>
        <v>225400</v>
      </c>
      <c r="M303" s="90">
        <f ca="1">IFERROR(__xludf.DUMMYFUNCTION("IMPORTRANGE(""https://docs.google.com/spreadsheets/d/1MeEWN-I1oV_STSDYn1IFDPWt_1FKiwhDph83XaGc0o0/edit?usp=sharing"",""งบพรบ!DX55"")"),114120)</f>
        <v>114120</v>
      </c>
      <c r="N303" s="90">
        <f ca="1">IFERROR(__xludf.DUMMYFUNCTION("IMPORTRANGE(""https://docs.google.com/spreadsheets/d/1MeEWN-I1oV_STSDYn1IFDPWt_1FKiwhDph83XaGc0o0/edit?usp=sharing"",""งบพรบ!DZ55"")"),62543.38)</f>
        <v>62543.38</v>
      </c>
      <c r="O303" s="90">
        <f t="shared" ca="1" si="136"/>
        <v>27.747728482697426</v>
      </c>
      <c r="P303" s="90">
        <f t="shared" ca="1" si="137"/>
        <v>54.804924640729055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40">L305+L306</f>
        <v>0</v>
      </c>
      <c r="M304" s="495">
        <f t="shared" ca="1" si="140"/>
        <v>0</v>
      </c>
      <c r="N304" s="495">
        <f t="shared" ca="1" si="140"/>
        <v>0</v>
      </c>
      <c r="O304" s="495">
        <f t="shared" ca="1" si="136"/>
        <v>0</v>
      </c>
      <c r="P304" s="495">
        <f t="shared" ca="1" si="137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6"/>
        <v>0</v>
      </c>
      <c r="P305" s="90">
        <f t="shared" si="137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IFERROR(__xludf.DUMMYFUNCTION("IMPORTRANGE(""https://docs.google.com/spreadsheets/d/1MeEWN-I1oV_STSDYn1IFDPWt_1FKiwhDph83XaGc0o0/edit?usp=sharing"",""งบพรบ!DV55"")"),0)</f>
        <v>0</v>
      </c>
      <c r="M306" s="90">
        <f ca="1">IFERROR(__xludf.DUMMYFUNCTION("IMPORTRANGE(""https://docs.google.com/spreadsheets/d/1MeEWN-I1oV_STSDYn1IFDPWt_1FKiwhDph83XaGc0o0/edit?usp=sharing"",""งบพรบ!DY55"")"),0)</f>
        <v>0</v>
      </c>
      <c r="N306" s="90">
        <f ca="1">IFERROR(__xludf.DUMMYFUNCTION("IMPORTRANGE(""https://docs.google.com/spreadsheets/d/1MeEWN-I1oV_STSDYn1IFDPWt_1FKiwhDph83XaGc0o0/edit?usp=sharing"",""งบพรบ!EA55"")"),0)</f>
        <v>0</v>
      </c>
      <c r="O306" s="90">
        <f t="shared" ca="1" si="136"/>
        <v>0</v>
      </c>
      <c r="P306" s="90">
        <f t="shared" ca="1" si="137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1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IFERROR(__xludf.DUMMYFUNCTION("IMPORTRANGE(""https://docs.google.com/spreadsheets/d/1QqKyyYR6Q21VydFLVH3TRQUabQu_ym0Zz7PgGX0-kHA/edit?usp=sharing"",""แผน!ED55"")"),20)</f>
        <v>20</v>
      </c>
      <c r="J309" s="210">
        <v>0</v>
      </c>
      <c r="K309" s="495">
        <f t="shared" ref="K309:K312" ca="1" si="141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IFERROR(__xludf.DUMMYFUNCTION("IMPORTRANGE(""https://docs.google.com/spreadsheets/d/1QqKyyYR6Q21VydFLVH3TRQUabQu_ym0Zz7PgGX0-kHA/edit?usp=sharing"",""แผน!ED55"")"),20)</f>
        <v>20</v>
      </c>
      <c r="J310" s="210">
        <v>0</v>
      </c>
      <c r="K310" s="495">
        <f t="shared" ca="1" si="141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IFERROR(__xludf.DUMMYFUNCTION("IMPORTRANGE(""https://docs.google.com/spreadsheets/d/1QqKyyYR6Q21VydFLVH3TRQUabQu_ym0Zz7PgGX0-kHA/edit?usp=sharing"",""แผน!ED55"")"),20)</f>
        <v>20</v>
      </c>
      <c r="J311" s="210">
        <v>0</v>
      </c>
      <c r="K311" s="495">
        <f t="shared" ca="1" si="141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IFERROR(__xludf.DUMMYFUNCTION("IMPORTRANGE(""https://docs.google.com/spreadsheets/d/1QqKyyYR6Q21VydFLVH3TRQUabQu_ym0Zz7PgGX0-kHA/edit?usp=sharing"",""แผน!EE55"")"),4)</f>
        <v>4</v>
      </c>
      <c r="J312" s="210">
        <v>0</v>
      </c>
      <c r="K312" s="495">
        <f t="shared" ca="1" si="141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2">I325</f>
        <v>0</v>
      </c>
      <c r="J314" s="442">
        <f t="shared" si="142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3">L316+L317</f>
        <v>0</v>
      </c>
      <c r="M315" s="151">
        <f t="shared" ca="1" si="143"/>
        <v>0</v>
      </c>
      <c r="N315" s="151">
        <f t="shared" ca="1" si="143"/>
        <v>0</v>
      </c>
      <c r="O315" s="151">
        <f t="shared" ref="O315:O323" ca="1" si="144">IF(L315&gt;0,N315*100/L315,0)</f>
        <v>0</v>
      </c>
      <c r="P315" s="151">
        <f t="shared" ref="P315:P323" ca="1" si="145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6">L319+L322</f>
        <v>0</v>
      </c>
      <c r="M316" s="90">
        <f t="shared" si="146"/>
        <v>0</v>
      </c>
      <c r="N316" s="90">
        <f t="shared" si="146"/>
        <v>0</v>
      </c>
      <c r="O316" s="90">
        <f t="shared" si="144"/>
        <v>0</v>
      </c>
      <c r="P316" s="90">
        <f t="shared" si="145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6"/>
        <v>0</v>
      </c>
      <c r="M317" s="90">
        <f t="shared" ca="1" si="146"/>
        <v>0</v>
      </c>
      <c r="N317" s="90">
        <f t="shared" ca="1" si="146"/>
        <v>0</v>
      </c>
      <c r="O317" s="90">
        <f t="shared" ca="1" si="144"/>
        <v>0</v>
      </c>
      <c r="P317" s="90">
        <f t="shared" ca="1" si="145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7">L319+L320</f>
        <v>0</v>
      </c>
      <c r="M318" s="495">
        <f t="shared" ca="1" si="147"/>
        <v>0</v>
      </c>
      <c r="N318" s="495">
        <f t="shared" ca="1" si="147"/>
        <v>0</v>
      </c>
      <c r="O318" s="495">
        <f t="shared" ca="1" si="144"/>
        <v>0</v>
      </c>
      <c r="P318" s="495">
        <f t="shared" ca="1" si="145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4"/>
        <v>0</v>
      </c>
      <c r="P319" s="90">
        <f t="shared" si="145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IFERROR(__xludf.DUMMYFUNCTION("IMPORTRANGE(""https://docs.google.com/spreadsheets/d/1MeEWN-I1oV_STSDYn1IFDPWt_1FKiwhDph83XaGc0o0/edit?usp=sharing"",""งบพรบ!EC55"")"),0)</f>
        <v>0</v>
      </c>
      <c r="M320" s="90">
        <f ca="1">IFERROR(__xludf.DUMMYFUNCTION("IMPORTRANGE(""https://docs.google.com/spreadsheets/d/1MeEWN-I1oV_STSDYn1IFDPWt_1FKiwhDph83XaGc0o0/edit?usp=sharing"",""งบพรบ!EH55"")"),0)</f>
        <v>0</v>
      </c>
      <c r="N320" s="90">
        <f ca="1">IFERROR(__xludf.DUMMYFUNCTION("IMPORTRANGE(""https://docs.google.com/spreadsheets/d/1MeEWN-I1oV_STSDYn1IFDPWt_1FKiwhDph83XaGc0o0/edit?usp=sharing"",""งบพรบ!EJ55"")"),0)</f>
        <v>0</v>
      </c>
      <c r="O320" s="90">
        <f t="shared" ca="1" si="144"/>
        <v>0</v>
      </c>
      <c r="P320" s="90">
        <f t="shared" ca="1" si="145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8">L322+L323</f>
        <v>0</v>
      </c>
      <c r="M321" s="495">
        <f t="shared" ca="1" si="148"/>
        <v>0</v>
      </c>
      <c r="N321" s="495">
        <f t="shared" ca="1" si="148"/>
        <v>0</v>
      </c>
      <c r="O321" s="495">
        <f t="shared" ca="1" si="144"/>
        <v>0</v>
      </c>
      <c r="P321" s="495">
        <f t="shared" ca="1" si="145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4"/>
        <v>0</v>
      </c>
      <c r="P322" s="90">
        <f t="shared" si="145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IFERROR(__xludf.DUMMYFUNCTION("IMPORTRANGE(""https://docs.google.com/spreadsheets/d/1MeEWN-I1oV_STSDYn1IFDPWt_1FKiwhDph83XaGc0o0/edit?usp=sharing"",""งบพรบ!EF55"")"),0)</f>
        <v>0</v>
      </c>
      <c r="M323" s="90">
        <f ca="1">IFERROR(__xludf.DUMMYFUNCTION("IMPORTRANGE(""https://docs.google.com/spreadsheets/d/1MeEWN-I1oV_STSDYn1IFDPWt_1FKiwhDph83XaGc0o0/edit?usp=sharing"",""งบพรบ!EI55"")"),0)</f>
        <v>0</v>
      </c>
      <c r="N323" s="90">
        <f ca="1">IFERROR(__xludf.DUMMYFUNCTION("IMPORTRANGE(""https://docs.google.com/spreadsheets/d/1MeEWN-I1oV_STSDYn1IFDPWt_1FKiwhDph83XaGc0o0/edit?usp=sharing"",""งบพรบ!EK55"")"),0)</f>
        <v>0</v>
      </c>
      <c r="O323" s="90">
        <f t="shared" ca="1" si="144"/>
        <v>0</v>
      </c>
      <c r="P323" s="90">
        <f t="shared" ca="1" si="145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IFERROR(__xludf.DUMMYFUNCTION("IMPORTRANGE(""https://docs.google.com/spreadsheets/d/1QqKyyYR6Q21VydFLVH3TRQUabQu_ym0Zz7PgGX0-kHA/edit?usp=sharing"",""แผน!EF55"")"),0)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IFERROR(__xludf.DUMMYFUNCTION("IMPORTRANGE(""https://docs.google.com/spreadsheets/d/1QqKyyYR6Q21VydFLVH3TRQUabQu_ym0Zz7PgGX0-kHA/edit?usp=sharing"",""แผน!EG55"")"),4300)</f>
        <v>4300</v>
      </c>
      <c r="J327" s="442">
        <f ca="1">J338+J341+J342+J343</f>
        <v>1947</v>
      </c>
      <c r="K327" s="443">
        <f ca="1">IF(I327&gt;0,J327*100/I327,0)</f>
        <v>45.279069767441861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9">L329+L330</f>
        <v>1139000</v>
      </c>
      <c r="M328" s="151">
        <f t="shared" ca="1" si="149"/>
        <v>1050500</v>
      </c>
      <c r="N328" s="151">
        <f t="shared" ca="1" si="149"/>
        <v>48479.97</v>
      </c>
      <c r="O328" s="151">
        <f t="shared" ref="O328:O336" ca="1" si="150">IF(L328&gt;0,N328*100/L328,0)</f>
        <v>4.2563625987708518</v>
      </c>
      <c r="P328" s="151">
        <f t="shared" ref="P328:P336" ca="1" si="151">IF(M328&gt;0,N328*100/M328,0)</f>
        <v>4.6149424083769635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2">L332+L335</f>
        <v>0</v>
      </c>
      <c r="M329" s="90">
        <f t="shared" si="152"/>
        <v>0</v>
      </c>
      <c r="N329" s="90">
        <f t="shared" si="152"/>
        <v>0</v>
      </c>
      <c r="O329" s="90">
        <f t="shared" si="150"/>
        <v>0</v>
      </c>
      <c r="P329" s="90">
        <f t="shared" si="151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2"/>
        <v>1139000</v>
      </c>
      <c r="M330" s="90">
        <f t="shared" ca="1" si="152"/>
        <v>1050500</v>
      </c>
      <c r="N330" s="90">
        <f t="shared" ca="1" si="152"/>
        <v>48479.97</v>
      </c>
      <c r="O330" s="90">
        <f t="shared" ca="1" si="150"/>
        <v>4.2563625987708518</v>
      </c>
      <c r="P330" s="90">
        <f t="shared" ca="1" si="151"/>
        <v>4.6149424083769635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3">L332+L333</f>
        <v>177000</v>
      </c>
      <c r="M331" s="495">
        <f t="shared" ca="1" si="153"/>
        <v>88500</v>
      </c>
      <c r="N331" s="495">
        <f t="shared" ca="1" si="153"/>
        <v>48479.97</v>
      </c>
      <c r="O331" s="495">
        <f t="shared" ca="1" si="150"/>
        <v>27.389813559322032</v>
      </c>
      <c r="P331" s="495">
        <f t="shared" ca="1" si="151"/>
        <v>54.779627118644065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50"/>
        <v>0</v>
      </c>
      <c r="P332" s="90">
        <f t="shared" si="151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IFERROR(__xludf.DUMMYFUNCTION("IMPORTRANGE(""https://docs.google.com/spreadsheets/d/1MeEWN-I1oV_STSDYn1IFDPWt_1FKiwhDph83XaGc0o0/edit?usp=sharing"",""งบพรบ!EM55"")"),177000)</f>
        <v>177000</v>
      </c>
      <c r="M333" s="90">
        <f ca="1">IFERROR(__xludf.DUMMYFUNCTION("IMPORTRANGE(""https://docs.google.com/spreadsheets/d/1MeEWN-I1oV_STSDYn1IFDPWt_1FKiwhDph83XaGc0o0/edit?usp=sharing"",""งบพรบ!ER55"")"),88500)</f>
        <v>88500</v>
      </c>
      <c r="N333" s="90">
        <f ca="1">IFERROR(__xludf.DUMMYFUNCTION("IMPORTRANGE(""https://docs.google.com/spreadsheets/d/1MeEWN-I1oV_STSDYn1IFDPWt_1FKiwhDph83XaGc0o0/edit?usp=sharing"",""งบพรบ!ET55"")"),48479.97)</f>
        <v>48479.97</v>
      </c>
      <c r="O333" s="90">
        <f t="shared" ca="1" si="150"/>
        <v>27.389813559322032</v>
      </c>
      <c r="P333" s="90">
        <f t="shared" ca="1" si="151"/>
        <v>54.779627118644065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4">L335+L336</f>
        <v>962000</v>
      </c>
      <c r="M334" s="495">
        <f t="shared" ca="1" si="154"/>
        <v>962000</v>
      </c>
      <c r="N334" s="495">
        <f t="shared" ca="1" si="154"/>
        <v>0</v>
      </c>
      <c r="O334" s="495">
        <f t="shared" ca="1" si="150"/>
        <v>0</v>
      </c>
      <c r="P334" s="495">
        <f t="shared" ca="1" si="151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50"/>
        <v>0</v>
      </c>
      <c r="P335" s="90">
        <f t="shared" si="151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IFERROR(__xludf.DUMMYFUNCTION("IMPORTRANGE(""https://docs.google.com/spreadsheets/d/1MeEWN-I1oV_STSDYn1IFDPWt_1FKiwhDph83XaGc0o0/edit?usp=sharing"",""งบพรบ!EP55"")"),962000)</f>
        <v>962000</v>
      </c>
      <c r="M336" s="90">
        <f ca="1">IFERROR(__xludf.DUMMYFUNCTION("IMPORTRANGE(""https://docs.google.com/spreadsheets/d/1MeEWN-I1oV_STSDYn1IFDPWt_1FKiwhDph83XaGc0o0/edit?usp=sharing"",""งบพรบ!ES55"")"),962000)</f>
        <v>962000</v>
      </c>
      <c r="N336" s="90">
        <f ca="1">IFERROR(__xludf.DUMMYFUNCTION("IMPORTRANGE(""https://docs.google.com/spreadsheets/d/1MeEWN-I1oV_STSDYn1IFDPWt_1FKiwhDph83XaGc0o0/edit?usp=sharing"",""งบพรบ!EU55"")"),0)</f>
        <v>0</v>
      </c>
      <c r="O336" s="90">
        <f t="shared" ca="1" si="150"/>
        <v>0</v>
      </c>
      <c r="P336" s="90">
        <f t="shared" ca="1" si="151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IFERROR(__xludf.DUMMYFUNCTION("IMPORTRANGE(""https://docs.google.com/spreadsheets/d/1QqKyyYR6Q21VydFLVH3TRQUabQu_ym0Zz7PgGX0-kHA/edit?usp=sharing"",""แผน!EG55"")"),4300)</f>
        <v>4300</v>
      </c>
      <c r="J338" s="264">
        <f ca="1">IFERROR(__xludf.DUMMYFUNCTION("IMPORTRANGE(""https://docs.google.com/spreadsheets/d/1kVcqe37tkHyjCSG3S0O1AXqVkqjo8mSIZil3BcpIysc/edit?usp=sharing"",""ศูนย์!D55"")"),1493)</f>
        <v>1493</v>
      </c>
      <c r="K338" s="495">
        <f ca="1">IF(I338&gt;0,J338*100/I338,0)</f>
        <v>34.720930232558139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IFERROR(__xludf.DUMMYFUNCTION("IMPORTRANGE(""https://docs.google.com/spreadsheets/d/1QqKyyYR6Q21VydFLVH3TRQUabQu_ym0Zz7PgGX0-kHA/edit?usp=sharing"",""แผน!EH55"")"),7)</f>
        <v>7</v>
      </c>
      <c r="J340" s="264">
        <f ca="1">IFERROR(__xludf.DUMMYFUNCTION("IMPORTRANGE(""https://docs.google.com/spreadsheets/d/1kVcqe37tkHyjCSG3S0O1AXqVkqjo8mSIZil3BcpIysc/edit?usp=sharing"",""ศูนย์!E55"")"),3)</f>
        <v>3</v>
      </c>
      <c r="K340" s="495">
        <f ca="1">IF(I340&gt;0,J340*100/I340,0)</f>
        <v>42.857142857142854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IFERROR(__xludf.DUMMYFUNCTION("IMPORTRANGE(""https://docs.google.com/spreadsheets/d/1kVcqe37tkHyjCSG3S0O1AXqVkqjo8mSIZil3BcpIysc/edit?usp=sharing"",""ศูนย์!F55"")"),454)</f>
        <v>454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IFERROR(__xludf.DUMMYFUNCTION("IMPORTRANGE(""https://docs.google.com/spreadsheets/d/1kVcqe37tkHyjCSG3S0O1AXqVkqjo8mSIZil3BcpIysc/edit?usp=sharing"",""ศูนย์!G55"")"),0)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IFERROR(__xludf.DUMMYFUNCTION("IMPORTRANGE(""https://docs.google.com/spreadsheets/d/1kVcqe37tkHyjCSG3S0O1AXqVkqjo8mSIZil3BcpIysc/edit?usp=sharing"",""ศูนย์!H55"")"),0)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5">L346+L347</f>
        <v>1441070</v>
      </c>
      <c r="M345" s="151">
        <f t="shared" ca="1" si="155"/>
        <v>840440</v>
      </c>
      <c r="N345" s="151">
        <f t="shared" ca="1" si="155"/>
        <v>527096.47</v>
      </c>
      <c r="O345" s="151">
        <f t="shared" ref="O345:O353" ca="1" si="156">IF(L345&gt;0,N345*100/L345,0)</f>
        <v>36.57674297570555</v>
      </c>
      <c r="P345" s="151">
        <f t="shared" ref="P345:P353" ca="1" si="157">IF(M345&gt;0,N345*100/M345,0)</f>
        <v>62.7167281424016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8">L349+L352</f>
        <v>0</v>
      </c>
      <c r="M346" s="90">
        <f t="shared" si="158"/>
        <v>0</v>
      </c>
      <c r="N346" s="90">
        <f t="shared" si="158"/>
        <v>0</v>
      </c>
      <c r="O346" s="90">
        <f t="shared" si="156"/>
        <v>0</v>
      </c>
      <c r="P346" s="90">
        <f t="shared" si="157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8"/>
        <v>1441070</v>
      </c>
      <c r="M347" s="90">
        <f t="shared" ca="1" si="158"/>
        <v>840440</v>
      </c>
      <c r="N347" s="90">
        <f t="shared" ca="1" si="158"/>
        <v>527096.47</v>
      </c>
      <c r="O347" s="90">
        <f t="shared" ca="1" si="156"/>
        <v>36.57674297570555</v>
      </c>
      <c r="P347" s="90">
        <f t="shared" ca="1" si="157"/>
        <v>62.7167281424016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9">L349+L350</f>
        <v>1201270</v>
      </c>
      <c r="M348" s="495">
        <f t="shared" ca="1" si="159"/>
        <v>600640</v>
      </c>
      <c r="N348" s="495">
        <f t="shared" ca="1" si="159"/>
        <v>287296.46999999997</v>
      </c>
      <c r="O348" s="495">
        <f t="shared" ca="1" si="156"/>
        <v>23.916061335087029</v>
      </c>
      <c r="P348" s="495">
        <f t="shared" ca="1" si="157"/>
        <v>47.831724493873196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6"/>
        <v>0</v>
      </c>
      <c r="P349" s="90">
        <f t="shared" si="157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IFERROR(__xludf.DUMMYFUNCTION("IMPORTRANGE(""https://docs.google.com/spreadsheets/d/1MeEWN-I1oV_STSDYn1IFDPWt_1FKiwhDph83XaGc0o0/edit?usp=sharing"",""งบพรบ!EW55"")"),1201270)</f>
        <v>1201270</v>
      </c>
      <c r="M350" s="90">
        <f ca="1">IFERROR(__xludf.DUMMYFUNCTION("IMPORTRANGE(""https://docs.google.com/spreadsheets/d/1MeEWN-I1oV_STSDYn1IFDPWt_1FKiwhDph83XaGc0o0/edit?usp=sharing"",""งบพรบ!FB55"")"),600640)</f>
        <v>600640</v>
      </c>
      <c r="N350" s="90">
        <f ca="1">IFERROR(__xludf.DUMMYFUNCTION("IMPORTRANGE(""https://docs.google.com/spreadsheets/d/1MeEWN-I1oV_STSDYn1IFDPWt_1FKiwhDph83XaGc0o0/edit?usp=sharing"",""งบพรบ!FD55"")"),287296.47)</f>
        <v>287296.46999999997</v>
      </c>
      <c r="O350" s="90">
        <f t="shared" ca="1" si="156"/>
        <v>23.916061335087029</v>
      </c>
      <c r="P350" s="90">
        <f t="shared" ca="1" si="157"/>
        <v>47.831724493873196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60">L352+L353</f>
        <v>239800</v>
      </c>
      <c r="M351" s="495">
        <f t="shared" ca="1" si="160"/>
        <v>239800</v>
      </c>
      <c r="N351" s="495">
        <f t="shared" ca="1" si="160"/>
        <v>239800</v>
      </c>
      <c r="O351" s="495">
        <f t="shared" ca="1" si="156"/>
        <v>100</v>
      </c>
      <c r="P351" s="495">
        <f t="shared" ca="1" si="157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6"/>
        <v>0</v>
      </c>
      <c r="P352" s="90">
        <f t="shared" si="157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IFERROR(__xludf.DUMMYFUNCTION("IMPORTRANGE(""https://docs.google.com/spreadsheets/d/1MeEWN-I1oV_STSDYn1IFDPWt_1FKiwhDph83XaGc0o0/edit?usp=sharing"",""งบพรบ!EZ55"")"),239800)</f>
        <v>239800</v>
      </c>
      <c r="M353" s="90">
        <f ca="1">IFERROR(__xludf.DUMMYFUNCTION("IMPORTRANGE(""https://docs.google.com/spreadsheets/d/1MeEWN-I1oV_STSDYn1IFDPWt_1FKiwhDph83XaGc0o0/edit?usp=sharing"",""งบพรบ!FC55"")"),239800)</f>
        <v>239800</v>
      </c>
      <c r="N353" s="90">
        <f ca="1">IFERROR(__xludf.DUMMYFUNCTION("IMPORTRANGE(""https://docs.google.com/spreadsheets/d/1MeEWN-I1oV_STSDYn1IFDPWt_1FKiwhDph83XaGc0o0/edit?usp=sharing"",""งบพรบ!FE55"")"),239800)</f>
        <v>239800</v>
      </c>
      <c r="O353" s="90">
        <f t="shared" ca="1" si="156"/>
        <v>100</v>
      </c>
      <c r="P353" s="90">
        <f t="shared" ca="1" si="157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IFERROR(__xludf.DUMMYFUNCTION("IMPORTRANGE(""https://docs.google.com/spreadsheets/d/1QqKyyYR6Q21VydFLVH3TRQUabQu_ym0Zz7PgGX0-kHA/edit?usp=sharing"",""แผน!EP55"")"),450)</f>
        <v>450</v>
      </c>
      <c r="J355" s="462">
        <f ca="1">J362</f>
        <v>8</v>
      </c>
      <c r="K355" s="463">
        <f ca="1">IF(I355&gt;0,J355*100/I355,0)</f>
        <v>1.7777777777777777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IFERROR(__xludf.DUMMYFUNCTION("IMPORTRANGE(""https://docs.google.com/spreadsheets/d/1XWAQStnk-4SwqDmLtmXYiTMKHgktTP8We1SCoS47DrQ/edit?usp=sharing"",""จัดที่ดิน!W55"")"),119)</f>
        <v>119</v>
      </c>
      <c r="K358" s="495">
        <f t="shared" ref="K358:K365" si="161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IFERROR(__xludf.DUMMYFUNCTION("IMPORTRANGE(""https://docs.google.com/spreadsheets/d/1QqKyyYR6Q21VydFLVH3TRQUabQu_ym0Zz7PgGX0-kHA/edit?usp=sharing"",""แผน!EO55"")"),4500)</f>
        <v>4500</v>
      </c>
      <c r="J359" s="264">
        <f ca="1">IFERROR(__xludf.DUMMYFUNCTION("IMPORTRANGE(""https://docs.google.com/spreadsheets/d/1XWAQStnk-4SwqDmLtmXYiTMKHgktTP8We1SCoS47DrQ/edit?usp=sharing"",""จัดที่ดิน!X55"")"),1301.47)</f>
        <v>1301.47</v>
      </c>
      <c r="K359" s="495">
        <f t="shared" ca="1" si="161"/>
        <v>28.921555555555557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IFERROR(__xludf.DUMMYFUNCTION("IMPORTRANGE(""https://docs.google.com/spreadsheets/d/1QqKyyYR6Q21VydFLVH3TRQUabQu_ym0Zz7PgGX0-kHA/edit?usp=sharing"",""แผน!EP55"")"),450)</f>
        <v>450</v>
      </c>
      <c r="J360" s="264">
        <f ca="1">IFERROR(__xludf.DUMMYFUNCTION("IMPORTRANGE(""https://docs.google.com/spreadsheets/d/1XWAQStnk-4SwqDmLtmXYiTMKHgktTP8We1SCoS47DrQ/edit?usp=sharing"",""จัดที่ดิน!Y55"")"),81)</f>
        <v>81</v>
      </c>
      <c r="K360" s="495">
        <f t="shared" ca="1" si="161"/>
        <v>18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IFERROR(__xludf.DUMMYFUNCTION("IMPORTRANGE(""https://docs.google.com/spreadsheets/d/1XWAQStnk-4SwqDmLtmXYiTMKHgktTP8We1SCoS47DrQ/edit?usp=sharing"",""จัดที่ดิน!Z55"")"),1279.63999999999)</f>
        <v>1279.6399999999901</v>
      </c>
      <c r="K361" s="495">
        <f t="shared" si="161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IFERROR(__xludf.DUMMYFUNCTION("IMPORTRANGE(""https://docs.google.com/spreadsheets/d/1QqKyyYR6Q21VydFLVH3TRQUabQu_ym0Zz7PgGX0-kHA/edit?usp=sharing"",""แผน!EP55"")"),450)</f>
        <v>450</v>
      </c>
      <c r="J362" s="264">
        <f ca="1">IFERROR(__xludf.DUMMYFUNCTION("IMPORTRANGE(""https://docs.google.com/spreadsheets/d/1XWAQStnk-4SwqDmLtmXYiTMKHgktTP8We1SCoS47DrQ/edit?usp=sharing"",""จัดที่ดิน!AA55"")"),8)</f>
        <v>8</v>
      </c>
      <c r="K362" s="495">
        <f t="shared" ca="1" si="161"/>
        <v>1.7777777777777777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IFERROR(__xludf.DUMMYFUNCTION("IMPORTRANGE(""https://docs.google.com/spreadsheets/d/1XWAQStnk-4SwqDmLtmXYiTMKHgktTP8We1SCoS47DrQ/edit?usp=sharing"",""จัดที่ดิน!AB55"")"),108.69)</f>
        <v>108.69</v>
      </c>
      <c r="K363" s="495">
        <f t="shared" si="161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2">I365+I374</f>
        <v>850</v>
      </c>
      <c r="J364" s="476">
        <f t="shared" ca="1" si="162"/>
        <v>41</v>
      </c>
      <c r="K364" s="477">
        <f t="shared" ca="1" si="161"/>
        <v>4.8235294117647056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IFERROR(__xludf.DUMMYFUNCTION("IMPORTRANGE(""https://docs.google.com/spreadsheets/d/1QqKyyYR6Q21VydFLVH3TRQUabQu_ym0Zz7PgGX0-kHA/edit?usp=sharing"",""แผน!EJ55"")"),150)</f>
        <v>150</v>
      </c>
      <c r="J365" s="488">
        <f ca="1">J372</f>
        <v>0</v>
      </c>
      <c r="K365" s="489">
        <f t="shared" ca="1" si="161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IFERROR(__xludf.DUMMYFUNCTION("IMPORTRANGE(""https://docs.google.com/spreadsheets/d/1XWAQStnk-4SwqDmLtmXYiTMKHgktTP8We1SCoS47DrQ/edit?usp=sharing"",""จัดที่ดิน!E55"")"),93)</f>
        <v>93</v>
      </c>
      <c r="K368" s="495">
        <f t="shared" ref="K368:K374" si="163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IFERROR(__xludf.DUMMYFUNCTION("IMPORTRANGE(""https://docs.google.com/spreadsheets/d/1QqKyyYR6Q21VydFLVH3TRQUabQu_ym0Zz7PgGX0-kHA/edit?usp=sharing"",""แผน!EI55"")"),1500)</f>
        <v>1500</v>
      </c>
      <c r="J369" s="264">
        <f ca="1">IFERROR(__xludf.DUMMYFUNCTION("IMPORTRANGE(""https://docs.google.com/spreadsheets/d/1XWAQStnk-4SwqDmLtmXYiTMKHgktTP8We1SCoS47DrQ/edit?usp=sharing"",""จัดที่ดิน!F55"")"),1047.97)</f>
        <v>1047.97</v>
      </c>
      <c r="K369" s="495">
        <f t="shared" ca="1" si="163"/>
        <v>69.864666666666665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IFERROR(__xludf.DUMMYFUNCTION("IMPORTRANGE(""https://docs.google.com/spreadsheets/d/1QqKyyYR6Q21VydFLVH3TRQUabQu_ym0Zz7PgGX0-kHA/edit?usp=sharing"",""แผน!EJ55"")"),150)</f>
        <v>150</v>
      </c>
      <c r="J370" s="264">
        <f ca="1">IFERROR(__xludf.DUMMYFUNCTION("IMPORTRANGE(""https://docs.google.com/spreadsheets/d/1XWAQStnk-4SwqDmLtmXYiTMKHgktTP8We1SCoS47DrQ/edit?usp=sharing"",""จัดที่ดิน!G55"")"),59)</f>
        <v>59</v>
      </c>
      <c r="K370" s="495">
        <f t="shared" ca="1" si="163"/>
        <v>39.333333333333336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IFERROR(__xludf.DUMMYFUNCTION("IMPORTRANGE(""https://docs.google.com/spreadsheets/d/1XWAQStnk-4SwqDmLtmXYiTMKHgktTP8We1SCoS47DrQ/edit?usp=sharing"",""จัดที่ดิน!H55"")"),1020.61)</f>
        <v>1020.61</v>
      </c>
      <c r="K371" s="495">
        <f t="shared" si="163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IFERROR(__xludf.DUMMYFUNCTION("IMPORTRANGE(""https://docs.google.com/spreadsheets/d/1QqKyyYR6Q21VydFLVH3TRQUabQu_ym0Zz7PgGX0-kHA/edit?usp=sharing"",""แผน!EJ55"")"),150)</f>
        <v>150</v>
      </c>
      <c r="J372" s="264">
        <f ca="1">IFERROR(__xludf.DUMMYFUNCTION("IMPORTRANGE(""https://docs.google.com/spreadsheets/d/1XWAQStnk-4SwqDmLtmXYiTMKHgktTP8We1SCoS47DrQ/edit?usp=sharing"",""จัดที่ดิน!I55"")"),0)</f>
        <v>0</v>
      </c>
      <c r="K372" s="495">
        <f t="shared" ca="1" si="163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IFERROR(__xludf.DUMMYFUNCTION("IMPORTRANGE(""https://docs.google.com/spreadsheets/d/1XWAQStnk-4SwqDmLtmXYiTMKHgktTP8We1SCoS47DrQ/edit?usp=sharing"",""จัดที่ดิน!J55"")"),0)</f>
        <v>0</v>
      </c>
      <c r="K373" s="495">
        <f t="shared" si="163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IFERROR(__xludf.DUMMYFUNCTION("IMPORTRANGE(""https://docs.google.com/spreadsheets/d/1QqKyyYR6Q21VydFLVH3TRQUabQu_ym0Zz7PgGX0-kHA/edit?usp=sharing"",""แผน!EU55"")"),700)</f>
        <v>700</v>
      </c>
      <c r="J374" s="488">
        <f ca="1">J381</f>
        <v>41</v>
      </c>
      <c r="K374" s="489">
        <f t="shared" ca="1" si="163"/>
        <v>5.8571428571428568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IFERROR(__xludf.DUMMYFUNCTION("IMPORTRANGE(""https://docs.google.com/spreadsheets/d/1XWAQStnk-4SwqDmLtmXYiTMKHgktTP8We1SCoS47DrQ/edit?usp=sharing"",""จัดที่ดิน!AH55"")"),26)</f>
        <v>26</v>
      </c>
      <c r="K377" s="495">
        <f t="shared" ref="K377:K382" si="164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IFERROR(__xludf.DUMMYFUNCTION("IMPORTRANGE(""https://docs.google.com/spreadsheets/d/1QqKyyYR6Q21VydFLVH3TRQUabQu_ym0Zz7PgGX0-kHA/edit?usp=sharing"",""แผน!ET55"")"),3000)</f>
        <v>3000</v>
      </c>
      <c r="J378" s="264">
        <f ca="1">IFERROR(__xludf.DUMMYFUNCTION("IMPORTRANGE(""https://docs.google.com/spreadsheets/d/1XWAQStnk-4SwqDmLtmXYiTMKHgktTP8We1SCoS47DrQ/edit?usp=sharing"",""จัดที่ดิน!AI55"")"),253.5)</f>
        <v>253.5</v>
      </c>
      <c r="K378" s="495">
        <f t="shared" ca="1" si="164"/>
        <v>8.4499999999999993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IFERROR(__xludf.DUMMYFUNCTION("IMPORTRANGE(""https://docs.google.com/spreadsheets/d/1QqKyyYR6Q21VydFLVH3TRQUabQu_ym0Zz7PgGX0-kHA/edit?usp=sharing"",""แผน!EU55"")"),700)</f>
        <v>700</v>
      </c>
      <c r="J379" s="264">
        <f ca="1">IFERROR(__xludf.DUMMYFUNCTION("IMPORTRANGE(""https://docs.google.com/spreadsheets/d/1XWAQStnk-4SwqDmLtmXYiTMKHgktTP8We1SCoS47DrQ/edit?usp=sharing"",""จัดที่ดิน!AJ55"")"),55)</f>
        <v>55</v>
      </c>
      <c r="K379" s="495">
        <f t="shared" ca="1" si="164"/>
        <v>7.8571428571428568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IFERROR(__xludf.DUMMYFUNCTION("IMPORTRANGE(""https://docs.google.com/spreadsheets/d/1XWAQStnk-4SwqDmLtmXYiTMKHgktTP8We1SCoS47DrQ/edit?usp=sharing"",""จัดที่ดิน!AK55"")"),710.41)</f>
        <v>710.41</v>
      </c>
      <c r="K380" s="495">
        <f t="shared" si="164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IFERROR(__xludf.DUMMYFUNCTION("IMPORTRANGE(""https://docs.google.com/spreadsheets/d/1QqKyyYR6Q21VydFLVH3TRQUabQu_ym0Zz7PgGX0-kHA/edit?usp=sharing"",""แผน!EU55"")"),700)</f>
        <v>700</v>
      </c>
      <c r="J381" s="264">
        <f ca="1">IFERROR(__xludf.DUMMYFUNCTION("IMPORTRANGE(""https://docs.google.com/spreadsheets/d/1XWAQStnk-4SwqDmLtmXYiTMKHgktTP8We1SCoS47DrQ/edit?usp=sharing"",""จัดที่ดิน!AL55"")"),41)</f>
        <v>41</v>
      </c>
      <c r="K381" s="495">
        <f t="shared" ca="1" si="164"/>
        <v>5.8571428571428568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IFERROR(__xludf.DUMMYFUNCTION("IMPORTRANGE(""https://docs.google.com/spreadsheets/d/1XWAQStnk-4SwqDmLtmXYiTMKHgktTP8We1SCoS47DrQ/edit?usp=sharing"",""จัดที่ดิน!AM55"")"),560.08)</f>
        <v>560.08000000000004</v>
      </c>
      <c r="K382" s="495">
        <f t="shared" si="164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IFERROR(__xludf.DUMMYFUNCTION("IMPORTRANGE(""https://docs.google.com/spreadsheets/d/1QqKyyYR6Q21VydFLVH3TRQUabQu_ym0Zz7PgGX0-kHA/edit?usp=sharing"",""แผน!EW55"")"),50)</f>
        <v>50</v>
      </c>
      <c r="J385" s="498">
        <f ca="1">IFERROR(__xludf.DUMMYFUNCTION("IMPORTRANGE(""https://docs.google.com/spreadsheets/d/1XWAQStnk-4SwqDmLtmXYiTMKHgktTP8We1SCoS47DrQ/edit?usp=sharing"",""จัดที่ดิน!AP55"")"),0)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5">I400</f>
        <v>0</v>
      </c>
      <c r="J388" s="519">
        <f t="shared" si="165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6">L390+L391</f>
        <v>0</v>
      </c>
      <c r="M389" s="151">
        <f t="shared" ca="1" si="166"/>
        <v>0</v>
      </c>
      <c r="N389" s="151">
        <f t="shared" ca="1" si="166"/>
        <v>0</v>
      </c>
      <c r="O389" s="151">
        <f t="shared" ref="O389:O397" ca="1" si="167">IF(L389&gt;0,N389*100/L389,0)</f>
        <v>0</v>
      </c>
      <c r="P389" s="151">
        <f t="shared" ref="P389:P397" ca="1" si="168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9">L393+L396</f>
        <v>0</v>
      </c>
      <c r="M390" s="90">
        <f t="shared" si="169"/>
        <v>0</v>
      </c>
      <c r="N390" s="90">
        <f t="shared" si="169"/>
        <v>0</v>
      </c>
      <c r="O390" s="90">
        <f t="shared" si="167"/>
        <v>0</v>
      </c>
      <c r="P390" s="90">
        <f t="shared" si="168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9"/>
        <v>0</v>
      </c>
      <c r="M391" s="90">
        <f t="shared" ca="1" si="169"/>
        <v>0</v>
      </c>
      <c r="N391" s="90">
        <f t="shared" ca="1" si="169"/>
        <v>0</v>
      </c>
      <c r="O391" s="90">
        <f t="shared" ca="1" si="167"/>
        <v>0</v>
      </c>
      <c r="P391" s="90">
        <f t="shared" ca="1" si="168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70">L393+L394</f>
        <v>0</v>
      </c>
      <c r="M392" s="495">
        <f t="shared" ca="1" si="170"/>
        <v>0</v>
      </c>
      <c r="N392" s="495">
        <f t="shared" ca="1" si="170"/>
        <v>0</v>
      </c>
      <c r="O392" s="495">
        <f t="shared" ca="1" si="167"/>
        <v>0</v>
      </c>
      <c r="P392" s="495">
        <f t="shared" ca="1" si="168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7"/>
        <v>0</v>
      </c>
      <c r="P393" s="90">
        <f t="shared" si="168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IFERROR(__xludf.DUMMYFUNCTION("IMPORTRANGE(""https://docs.google.com/spreadsheets/d/1MeEWN-I1oV_STSDYn1IFDPWt_1FKiwhDph83XaGc0o0/edit?usp=sharing"",""งบพรบ!FG55"")"),0)</f>
        <v>0</v>
      </c>
      <c r="M394" s="90">
        <f ca="1">IFERROR(__xludf.DUMMYFUNCTION("IMPORTRANGE(""https://docs.google.com/spreadsheets/d/1MeEWN-I1oV_STSDYn1IFDPWt_1FKiwhDph83XaGc0o0/edit?usp=sharing"",""งบพรบ!FL55"")"),0)</f>
        <v>0</v>
      </c>
      <c r="N394" s="90">
        <f ca="1">IFERROR(__xludf.DUMMYFUNCTION("IMPORTRANGE(""https://docs.google.com/spreadsheets/d/1MeEWN-I1oV_STSDYn1IFDPWt_1FKiwhDph83XaGc0o0/edit?usp=sharing"",""งบพรบ!FN55"")"),0)</f>
        <v>0</v>
      </c>
      <c r="O394" s="90">
        <f t="shared" ca="1" si="167"/>
        <v>0</v>
      </c>
      <c r="P394" s="90">
        <f t="shared" ca="1" si="168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1">L396+L397</f>
        <v>0</v>
      </c>
      <c r="M395" s="495">
        <f t="shared" ca="1" si="171"/>
        <v>0</v>
      </c>
      <c r="N395" s="495">
        <f t="shared" ca="1" si="171"/>
        <v>0</v>
      </c>
      <c r="O395" s="495">
        <f t="shared" ca="1" si="167"/>
        <v>0</v>
      </c>
      <c r="P395" s="495">
        <f t="shared" ca="1" si="168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7"/>
        <v>0</v>
      </c>
      <c r="P396" s="90">
        <f t="shared" si="168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IFERROR(__xludf.DUMMYFUNCTION("IMPORTRANGE(""https://docs.google.com/spreadsheets/d/1MeEWN-I1oV_STSDYn1IFDPWt_1FKiwhDph83XaGc0o0/edit?usp=sharing"",""งบพรบ!FJ55"")"),0)</f>
        <v>0</v>
      </c>
      <c r="M397" s="90">
        <f ca="1">IFERROR(__xludf.DUMMYFUNCTION("IMPORTRANGE(""https://docs.google.com/spreadsheets/d/1MeEWN-I1oV_STSDYn1IFDPWt_1FKiwhDph83XaGc0o0/edit?usp=sharing"",""งบพรบ!FM55"")"),0)</f>
        <v>0</v>
      </c>
      <c r="N397" s="90">
        <f ca="1">IFERROR(__xludf.DUMMYFUNCTION("IMPORTRANGE(""https://docs.google.com/spreadsheets/d/1MeEWN-I1oV_STSDYn1IFDPWt_1FKiwhDph83XaGc0o0/edit?usp=sharing"",""งบพรบ!FO55"")"),0)</f>
        <v>0</v>
      </c>
      <c r="O397" s="90">
        <f t="shared" ca="1" si="167"/>
        <v>0</v>
      </c>
      <c r="P397" s="90">
        <f t="shared" ca="1" si="168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2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2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3">I412</f>
        <v>0</v>
      </c>
      <c r="J401" s="519">
        <f t="shared" si="173"/>
        <v>0</v>
      </c>
      <c r="K401" s="520">
        <f t="shared" si="172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4">L403+L404</f>
        <v>0</v>
      </c>
      <c r="M402" s="151">
        <f t="shared" ca="1" si="174"/>
        <v>0</v>
      </c>
      <c r="N402" s="151">
        <f t="shared" ca="1" si="174"/>
        <v>0</v>
      </c>
      <c r="O402" s="151">
        <f t="shared" ref="O402:O410" ca="1" si="175">IF(L402&gt;0,N402*100/L402,0)</f>
        <v>0</v>
      </c>
      <c r="P402" s="151">
        <f t="shared" ref="P402:P410" ca="1" si="176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7">L406+L409</f>
        <v>0</v>
      </c>
      <c r="M403" s="90">
        <f t="shared" si="177"/>
        <v>0</v>
      </c>
      <c r="N403" s="90">
        <f t="shared" si="177"/>
        <v>0</v>
      </c>
      <c r="O403" s="90">
        <f t="shared" si="175"/>
        <v>0</v>
      </c>
      <c r="P403" s="90">
        <f t="shared" si="176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7"/>
        <v>0</v>
      </c>
      <c r="M404" s="90">
        <f t="shared" ca="1" si="177"/>
        <v>0</v>
      </c>
      <c r="N404" s="90">
        <f t="shared" ca="1" si="177"/>
        <v>0</v>
      </c>
      <c r="O404" s="90">
        <f t="shared" ca="1" si="175"/>
        <v>0</v>
      </c>
      <c r="P404" s="90">
        <f t="shared" ca="1" si="176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8">L406+L407</f>
        <v>0</v>
      </c>
      <c r="M405" s="495">
        <f t="shared" ca="1" si="178"/>
        <v>0</v>
      </c>
      <c r="N405" s="495">
        <f t="shared" ca="1" si="178"/>
        <v>0</v>
      </c>
      <c r="O405" s="495">
        <f t="shared" ca="1" si="175"/>
        <v>0</v>
      </c>
      <c r="P405" s="495">
        <f t="shared" ca="1" si="176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5"/>
        <v>0</v>
      </c>
      <c r="P406" s="90">
        <f t="shared" si="176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IFERROR(__xludf.DUMMYFUNCTION("IMPORTRANGE(""https://docs.google.com/spreadsheets/d/1MeEWN-I1oV_STSDYn1IFDPWt_1FKiwhDph83XaGc0o0/edit?usp=sharing"",""งบพรบ!FQ55"")"),0)</f>
        <v>0</v>
      </c>
      <c r="M407" s="90">
        <f ca="1">IFERROR(__xludf.DUMMYFUNCTION("IMPORTRANGE(""https://docs.google.com/spreadsheets/d/1MeEWN-I1oV_STSDYn1IFDPWt_1FKiwhDph83XaGc0o0/edit?usp=sharing"",""งบพรบ!FV55"")"),0)</f>
        <v>0</v>
      </c>
      <c r="N407" s="90">
        <f ca="1">IFERROR(__xludf.DUMMYFUNCTION("IMPORTRANGE(""https://docs.google.com/spreadsheets/d/1MeEWN-I1oV_STSDYn1IFDPWt_1FKiwhDph83XaGc0o0/edit?usp=sharing"",""งบพรบ!FX55"")"),0)</f>
        <v>0</v>
      </c>
      <c r="O407" s="90">
        <f t="shared" ca="1" si="175"/>
        <v>0</v>
      </c>
      <c r="P407" s="90">
        <f t="shared" ca="1" si="176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9">L409+L410</f>
        <v>0</v>
      </c>
      <c r="M408" s="495">
        <f t="shared" ca="1" si="179"/>
        <v>0</v>
      </c>
      <c r="N408" s="495">
        <f t="shared" ca="1" si="179"/>
        <v>0</v>
      </c>
      <c r="O408" s="495">
        <f t="shared" ca="1" si="175"/>
        <v>0</v>
      </c>
      <c r="P408" s="495">
        <f t="shared" ca="1" si="176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5"/>
        <v>0</v>
      </c>
      <c r="P409" s="90">
        <f t="shared" si="176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IFERROR(__xludf.DUMMYFUNCTION("IMPORTRANGE(""https://docs.google.com/spreadsheets/d/1MeEWN-I1oV_STSDYn1IFDPWt_1FKiwhDph83XaGc0o0/edit?usp=sharing"",""งบพรบ!FT55"")"),0)</f>
        <v>0</v>
      </c>
      <c r="M410" s="90">
        <f ca="1">IFERROR(__xludf.DUMMYFUNCTION("IMPORTRANGE(""https://docs.google.com/spreadsheets/d/1MeEWN-I1oV_STSDYn1IFDPWt_1FKiwhDph83XaGc0o0/edit?usp=sharing"",""งบพรบ!FW55"")"),0)</f>
        <v>0</v>
      </c>
      <c r="N410" s="90">
        <f ca="1">IFERROR(__xludf.DUMMYFUNCTION("IMPORTRANGE(""https://docs.google.com/spreadsheets/d/1MeEWN-I1oV_STSDYn1IFDPWt_1FKiwhDph83XaGc0o0/edit?usp=sharing"",""งบพรบ!FY55"")"),0)</f>
        <v>0</v>
      </c>
      <c r="O410" s="90">
        <f t="shared" ca="1" si="175"/>
        <v>0</v>
      </c>
      <c r="P410" s="90">
        <f t="shared" ca="1" si="176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80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80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1">L419+L444+L467+L502+L523+L544+L629+L655+L685+L737+L754+L770+L786+L805</f>
        <v>1891528</v>
      </c>
      <c r="M414" s="546">
        <f t="shared" si="181"/>
        <v>0</v>
      </c>
      <c r="N414" s="546">
        <f t="shared" si="181"/>
        <v>46674.3</v>
      </c>
      <c r="O414" s="546">
        <f ca="1">IF(L414&gt;0,N414*100/L414,0)</f>
        <v>2.4675447574659217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2">I433</f>
        <v>40</v>
      </c>
      <c r="J417" s="562">
        <f t="shared" ca="1" si="182"/>
        <v>0</v>
      </c>
      <c r="K417" s="563">
        <f t="shared" ref="K417:K418" ca="1" si="183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2"/>
        <v>2</v>
      </c>
      <c r="J418" s="562">
        <f t="shared" si="182"/>
        <v>0</v>
      </c>
      <c r="K418" s="563">
        <f t="shared" ca="1" si="183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4">L420+L421</f>
        <v>133680</v>
      </c>
      <c r="M419" s="151">
        <f t="shared" si="184"/>
        <v>0</v>
      </c>
      <c r="N419" s="151">
        <f t="shared" si="184"/>
        <v>0</v>
      </c>
      <c r="O419" s="151">
        <f t="shared" ref="O419:O424" ca="1" si="185">IF(L419&gt;0,N419*100/L419,0)</f>
        <v>0</v>
      </c>
      <c r="P419" s="151">
        <f t="shared" ref="P419:P424" si="186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7">L423+L430</f>
        <v>0</v>
      </c>
      <c r="M420" s="90">
        <f t="shared" si="187"/>
        <v>0</v>
      </c>
      <c r="N420" s="90">
        <f t="shared" si="187"/>
        <v>0</v>
      </c>
      <c r="O420" s="90">
        <f t="shared" si="185"/>
        <v>0</v>
      </c>
      <c r="P420" s="90">
        <f t="shared" si="186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7"/>
        <v>133680</v>
      </c>
      <c r="M421" s="90">
        <f t="shared" si="187"/>
        <v>0</v>
      </c>
      <c r="N421" s="90">
        <f t="shared" si="187"/>
        <v>0</v>
      </c>
      <c r="O421" s="90">
        <f t="shared" ca="1" si="185"/>
        <v>0</v>
      </c>
      <c r="P421" s="90">
        <f t="shared" si="186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8">L423+L424</f>
        <v>133680</v>
      </c>
      <c r="M422" s="495">
        <f t="shared" si="188"/>
        <v>0</v>
      </c>
      <c r="N422" s="495">
        <f t="shared" si="188"/>
        <v>0</v>
      </c>
      <c r="O422" s="495">
        <f t="shared" ca="1" si="185"/>
        <v>0</v>
      </c>
      <c r="P422" s="495">
        <f t="shared" si="186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5"/>
        <v>0</v>
      </c>
      <c r="P423" s="90">
        <f t="shared" si="186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IFERROR(__xludf.DUMMYFUNCTION("IMPORTRANGE(""https://docs.google.com/spreadsheets/d/1QqKyyYR6Q21VydFLVH3TRQUabQu_ym0Zz7PgGX0-kHA/edit?usp=sharing"",""แผน!EY55"")"),133680)</f>
        <v>133680</v>
      </c>
      <c r="M424" s="90">
        <v>0</v>
      </c>
      <c r="N424" s="90">
        <f>N425+N426+N427+N428</f>
        <v>0</v>
      </c>
      <c r="O424" s="90">
        <f t="shared" ca="1" si="185"/>
        <v>0</v>
      </c>
      <c r="P424" s="90">
        <f t="shared" si="186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9">L430+L431</f>
        <v>0</v>
      </c>
      <c r="M429" s="495">
        <f t="shared" si="189"/>
        <v>0</v>
      </c>
      <c r="N429" s="495">
        <f t="shared" si="189"/>
        <v>0</v>
      </c>
      <c r="O429" s="495">
        <f t="shared" ref="O429:O431" ca="1" si="190">IF(L429&gt;0,N429*100/L429,0)</f>
        <v>0</v>
      </c>
      <c r="P429" s="495">
        <f t="shared" ref="P429:P431" si="191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90"/>
        <v>0</v>
      </c>
      <c r="P430" s="90">
        <f t="shared" si="191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IFERROR(__xludf.DUMMYFUNCTION("IMPORTRANGE(""https://docs.google.com/spreadsheets/d/1QqKyyYR6Q21VydFLVH3TRQUabQu_ym0Zz7PgGX0-kHA/edit?usp=sharing"",""แผน!FB55"")"),0)</f>
        <v>0</v>
      </c>
      <c r="M431" s="90">
        <v>0</v>
      </c>
      <c r="N431" s="90">
        <v>0</v>
      </c>
      <c r="O431" s="90">
        <f t="shared" ca="1" si="190"/>
        <v>0</v>
      </c>
      <c r="P431" s="90">
        <f t="shared" si="191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40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2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3">I438+I440</f>
        <v>2</v>
      </c>
      <c r="J434" s="673">
        <f t="shared" si="193"/>
        <v>0</v>
      </c>
      <c r="K434" s="191">
        <f t="shared" ca="1" si="192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IFERROR(__xludf.DUMMYFUNCTION("IMPORTRANGE(""https://docs.google.com/spreadsheets/d/1QqKyyYR6Q21VydFLVH3TRQUabQu_ym0Zz7PgGX0-kHA/edit?usp=sharing"",""แผน!FC55"")"),40)</f>
        <v>40</v>
      </c>
      <c r="J435" s="576">
        <v>0</v>
      </c>
      <c r="K435" s="495">
        <f t="shared" ca="1" si="192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IFERROR(__xludf.DUMMYFUNCTION("IMPORTRANGE(""https://docs.google.com/spreadsheets/d/1QqKyyYR6Q21VydFLVH3TRQUabQu_ym0Zz7PgGX0-kHA/edit?usp=sharing"",""แผน!FD55"")"),20)</f>
        <v>20</v>
      </c>
      <c r="J437" s="576">
        <v>0</v>
      </c>
      <c r="K437" s="495">
        <f t="shared" ref="K437:K443" ca="1" si="194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IFERROR(__xludf.DUMMYFUNCTION("IMPORTRANGE(""https://docs.google.com/spreadsheets/d/1QqKyyYR6Q21VydFLVH3TRQUabQu_ym0Zz7PgGX0-kHA/edit?usp=sharing"",""แผน!FE55"")"),1)</f>
        <v>1</v>
      </c>
      <c r="J438" s="210">
        <v>0</v>
      </c>
      <c r="K438" s="495">
        <f t="shared" ca="1" si="194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IFERROR(__xludf.DUMMYFUNCTION("IMPORTRANGE(""https://docs.google.com/spreadsheets/d/1QqKyyYR6Q21VydFLVH3TRQUabQu_ym0Zz7PgGX0-kHA/edit?usp=sharing"",""แผน!FF55"")"),20)</f>
        <v>20</v>
      </c>
      <c r="J439" s="576">
        <v>0</v>
      </c>
      <c r="K439" s="495">
        <f t="shared" ca="1" si="194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IFERROR(__xludf.DUMMYFUNCTION("IMPORTRANGE(""https://docs.google.com/spreadsheets/d/1QqKyyYR6Q21VydFLVH3TRQUabQu_ym0Zz7PgGX0-kHA/edit?usp=sharing"",""แผน!FG55"")"),1)</f>
        <v>1</v>
      </c>
      <c r="J440" s="210">
        <v>0</v>
      </c>
      <c r="K440" s="495">
        <f t="shared" ca="1" si="194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IFERROR(__xludf.DUMMYFUNCTION("IMPORTRANGE(""https://docs.google.com/spreadsheets/d/1QqKyyYR6Q21VydFLVH3TRQUabQu_ym0Zz7PgGX0-kHA/edit?usp=sharing"",""แผน!FH55"")"),0)</f>
        <v>0</v>
      </c>
      <c r="J441" s="264">
        <v>0</v>
      </c>
      <c r="K441" s="495">
        <f t="shared" ca="1" si="194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5">I460</f>
        <v>55</v>
      </c>
      <c r="J442" s="582">
        <f t="shared" si="195"/>
        <v>0</v>
      </c>
      <c r="K442" s="583">
        <f t="shared" ca="1" si="194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6">I462</f>
        <v>55</v>
      </c>
      <c r="J443" s="562">
        <f t="shared" si="196"/>
        <v>0</v>
      </c>
      <c r="K443" s="563">
        <f t="shared" ca="1" si="194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7">L445+L446</f>
        <v>331500</v>
      </c>
      <c r="M444" s="191">
        <f t="shared" si="197"/>
        <v>0</v>
      </c>
      <c r="N444" s="191">
        <f t="shared" si="197"/>
        <v>13000</v>
      </c>
      <c r="O444" s="191">
        <f t="shared" ref="O444:O449" ca="1" si="198">IF(L444&gt;0,N444*100/L444,0)</f>
        <v>3.9215686274509802</v>
      </c>
      <c r="P444" s="191">
        <f t="shared" ref="P444:P449" si="199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200">L448+L455</f>
        <v>0</v>
      </c>
      <c r="M445" s="90">
        <f t="shared" si="200"/>
        <v>0</v>
      </c>
      <c r="N445" s="90">
        <f t="shared" si="200"/>
        <v>0</v>
      </c>
      <c r="O445" s="90">
        <f t="shared" si="198"/>
        <v>0</v>
      </c>
      <c r="P445" s="90">
        <f t="shared" si="199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200"/>
        <v>331500</v>
      </c>
      <c r="M446" s="90">
        <f t="shared" si="200"/>
        <v>0</v>
      </c>
      <c r="N446" s="90">
        <f t="shared" si="200"/>
        <v>13000</v>
      </c>
      <c r="O446" s="90">
        <f t="shared" ca="1" si="198"/>
        <v>3.9215686274509802</v>
      </c>
      <c r="P446" s="90">
        <f t="shared" si="199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1">L448+L449</f>
        <v>331500</v>
      </c>
      <c r="M447" s="495">
        <f t="shared" si="201"/>
        <v>0</v>
      </c>
      <c r="N447" s="495">
        <f t="shared" si="201"/>
        <v>13000</v>
      </c>
      <c r="O447" s="495">
        <f t="shared" ca="1" si="198"/>
        <v>3.9215686274509802</v>
      </c>
      <c r="P447" s="495">
        <f t="shared" si="199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8"/>
        <v>0</v>
      </c>
      <c r="P448" s="90">
        <f t="shared" si="199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IFERROR(__xludf.DUMMYFUNCTION("IMPORTRANGE(""https://docs.google.com/spreadsheets/d/1QqKyyYR6Q21VydFLVH3TRQUabQu_ym0Zz7PgGX0-kHA/edit?usp=sharing"",""แผน!FJ55"")"),331500)</f>
        <v>331500</v>
      </c>
      <c r="M449" s="90">
        <v>0</v>
      </c>
      <c r="N449" s="90">
        <f>N450+N451+N452+N453</f>
        <v>13000</v>
      </c>
      <c r="O449" s="90">
        <f t="shared" ca="1" si="198"/>
        <v>3.9215686274509802</v>
      </c>
      <c r="P449" s="90">
        <f t="shared" si="199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13000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2">L455+L456</f>
        <v>0</v>
      </c>
      <c r="M454" s="495">
        <f t="shared" si="202"/>
        <v>0</v>
      </c>
      <c r="N454" s="495">
        <f t="shared" si="202"/>
        <v>0</v>
      </c>
      <c r="O454" s="495">
        <f t="shared" ref="O454:O456" ca="1" si="203">IF(L454&gt;0,N454*100/L454,0)</f>
        <v>0</v>
      </c>
      <c r="P454" s="495">
        <f t="shared" ref="P454:P456" si="204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3"/>
        <v>0</v>
      </c>
      <c r="P455" s="90">
        <f t="shared" si="204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IFERROR(__xludf.DUMMYFUNCTION("IMPORTRANGE(""https://docs.google.com/spreadsheets/d/1QqKyyYR6Q21VydFLVH3TRQUabQu_ym0Zz7PgGX0-kHA/edit?usp=sharing"",""แผน!FM55"")"),0)</f>
        <v>0</v>
      </c>
      <c r="M456" s="90">
        <v>0</v>
      </c>
      <c r="N456" s="90">
        <v>0</v>
      </c>
      <c r="O456" s="90">
        <f t="shared" ca="1" si="203"/>
        <v>0</v>
      </c>
      <c r="P456" s="90">
        <f t="shared" si="204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IFERROR(__xludf.DUMMYFUNCTION("IMPORTRANGE(""https://docs.google.com/spreadsheets/d/1QqKyyYR6Q21VydFLVH3TRQUabQu_ym0Zz7PgGX0-kHA/edit?usp=sharing"",""แผน!FN55"")"),55)</f>
        <v>55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IFERROR(__xludf.DUMMYFUNCTION("IMPORTRANGE(""https://docs.google.com/spreadsheets/d/1QqKyyYR6Q21VydFLVH3TRQUabQu_ym0Zz7PgGX0-kHA/edit?usp=sharing"",""แผน!FO55"")"),55)</f>
        <v>55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IFERROR(__xludf.DUMMYFUNCTION("IMPORTRANGE(""https://docs.google.com/spreadsheets/d/1QqKyyYR6Q21VydFLVH3TRQUabQu_ym0Zz7PgGX0-kHA/edit?usp=sharing"",""แผน!FO55"")"),55)</f>
        <v>55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IFERROR(__xludf.DUMMYFUNCTION("IMPORTRANGE(""https://docs.google.com/spreadsheets/d/1QqKyyYR6Q21VydFLVH3TRQUabQu_ym0Zz7PgGX0-kHA/edit?usp=sharing"",""แผน!FN55"")"),55)</f>
        <v>55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IFERROR(__xludf.DUMMYFUNCTION("IMPORTRANGE(""https://docs.google.com/spreadsheets/d/1QqKyyYR6Q21VydFLVH3TRQUabQu_ym0Zz7PgGX0-kHA/edit?usp=sharing"",""แผน!FX55"")"),131)</f>
        <v>131</v>
      </c>
      <c r="J465" s="582">
        <f>J485+J489+J492</f>
        <v>0</v>
      </c>
      <c r="K465" s="583">
        <f t="shared" ref="K465:K466" ca="1" si="205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IFERROR(__xludf.DUMMYFUNCTION("IMPORTRANGE(""https://docs.google.com/spreadsheets/d/1QqKyyYR6Q21VydFLVH3TRQUabQu_ym0Zz7PgGX0-kHA/edit?usp=sharing"",""แผน!FW55"")"),1300)</f>
        <v>1300</v>
      </c>
      <c r="J466" s="562">
        <f>J483+J487</f>
        <v>0</v>
      </c>
      <c r="K466" s="563">
        <f t="shared" ca="1" si="205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6">L468+L469</f>
        <v>1161548</v>
      </c>
      <c r="M467" s="191">
        <f t="shared" si="206"/>
        <v>0</v>
      </c>
      <c r="N467" s="191">
        <f t="shared" si="206"/>
        <v>15442</v>
      </c>
      <c r="O467" s="191">
        <f t="shared" ref="O467:O472" ca="1" si="207">IF(L467&gt;0,N467*100/L467,0)</f>
        <v>1.3294327914128388</v>
      </c>
      <c r="P467" s="191">
        <f t="shared" ref="P467:P472" si="208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9">L471+L478</f>
        <v>0</v>
      </c>
      <c r="M468" s="90">
        <f t="shared" si="209"/>
        <v>0</v>
      </c>
      <c r="N468" s="90">
        <f t="shared" si="209"/>
        <v>0</v>
      </c>
      <c r="O468" s="90">
        <f t="shared" si="207"/>
        <v>0</v>
      </c>
      <c r="P468" s="90">
        <f t="shared" si="208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9"/>
        <v>1161548</v>
      </c>
      <c r="M469" s="90">
        <f t="shared" si="209"/>
        <v>0</v>
      </c>
      <c r="N469" s="90">
        <f t="shared" si="209"/>
        <v>15442</v>
      </c>
      <c r="O469" s="90">
        <f t="shared" ca="1" si="207"/>
        <v>1.3294327914128388</v>
      </c>
      <c r="P469" s="90">
        <f t="shared" si="208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10">L471+L472</f>
        <v>1161548</v>
      </c>
      <c r="M470" s="495">
        <f t="shared" si="210"/>
        <v>0</v>
      </c>
      <c r="N470" s="495">
        <f t="shared" si="210"/>
        <v>15442</v>
      </c>
      <c r="O470" s="495">
        <f t="shared" ca="1" si="207"/>
        <v>1.3294327914128388</v>
      </c>
      <c r="P470" s="495">
        <f t="shared" si="208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7"/>
        <v>0</v>
      </c>
      <c r="P471" s="90">
        <f t="shared" si="208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IFERROR(__xludf.DUMMYFUNCTION("IMPORTRANGE(""https://docs.google.com/spreadsheets/d/1QqKyyYR6Q21VydFLVH3TRQUabQu_ym0Zz7PgGX0-kHA/edit?usp=sharing"",""แผน!FS55"")"),1161548)</f>
        <v>1161548</v>
      </c>
      <c r="M472" s="90">
        <v>0</v>
      </c>
      <c r="N472" s="90">
        <f>N473+N474+N475+N476</f>
        <v>15442</v>
      </c>
      <c r="O472" s="90">
        <f t="shared" ca="1" si="207"/>
        <v>1.3294327914128388</v>
      </c>
      <c r="P472" s="90">
        <f t="shared" si="208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13000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f>1792+650</f>
        <v>2442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1">L478+L479</f>
        <v>0</v>
      </c>
      <c r="M477" s="495">
        <f t="shared" si="211"/>
        <v>0</v>
      </c>
      <c r="N477" s="495">
        <f t="shared" si="211"/>
        <v>0</v>
      </c>
      <c r="O477" s="495">
        <f t="shared" ref="O477:O479" ca="1" si="212">IF(L477&gt;0,N477*100/L477,0)</f>
        <v>0</v>
      </c>
      <c r="P477" s="495">
        <f t="shared" ref="P477:P479" si="213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2"/>
        <v>0</v>
      </c>
      <c r="P478" s="90">
        <f t="shared" si="213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IFERROR(__xludf.DUMMYFUNCTION("IMPORTRANGE(""https://docs.google.com/spreadsheets/d/1QqKyyYR6Q21VydFLVH3TRQUabQu_ym0Zz7PgGX0-kHA/edit?usp=sharing"",""แผน!FV55"")"),0)</f>
        <v>0</v>
      </c>
      <c r="M479" s="90">
        <v>0</v>
      </c>
      <c r="N479" s="90">
        <v>0</v>
      </c>
      <c r="O479" s="90">
        <f t="shared" ca="1" si="212"/>
        <v>0</v>
      </c>
      <c r="P479" s="90">
        <f t="shared" si="213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IFERROR(__xludf.DUMMYFUNCTION("IMPORTRANGE(""https://docs.google.com/spreadsheets/d/1QqKyyYR6Q21VydFLVH3TRQUabQu_ym0Zz7PgGX0-kHA/edit?usp=sharing"",""แผน!FY55"")"),1170)</f>
        <v>1170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IFERROR(__xludf.DUMMYFUNCTION("IMPORTRANGE(""https://docs.google.com/spreadsheets/d/1QqKyyYR6Q21VydFLVH3TRQUabQu_ym0Zz7PgGX0-kHA/edit?usp=sharing"",""แผน!FZ55"")"),117)</f>
        <v>117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IFERROR(__xludf.DUMMYFUNCTION("IMPORTRANGE(""https://docs.google.com/spreadsheets/d/1QqKyyYR6Q21VydFLVH3TRQUabQu_ym0Zz7PgGX0-kHA/edit?usp=sharing"",""แผน!GA55"")"),130)</f>
        <v>130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IFERROR(__xludf.DUMMYFUNCTION("IMPORTRANGE(""https://docs.google.com/spreadsheets/d/1QqKyyYR6Q21VydFLVH3TRQUabQu_ym0Zz7PgGX0-kHA/edit?usp=sharing"",""แผน!GB55"")"),13)</f>
        <v>13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IFERROR(__xludf.DUMMYFUNCTION("IMPORTRANGE(""https://docs.google.com/spreadsheets/d/1QqKyyYR6Q21VydFLVH3TRQUabQu_ym0Zz7PgGX0-kHA/edit?usp=sharing"",""แผน!GC55"")"),1)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IFERROR(__xludf.DUMMYFUNCTION("IMPORTRANGE(""https://docs.google.com/spreadsheets/d/1QqKyyYR6Q21VydFLVH3TRQUabQu_ym0Zz7PgGX0-kHA/edit?usp=sharing"",""แผน!FY55"")"),1170)</f>
        <v>1170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IFERROR(__xludf.DUMMYFUNCTION("IMPORTRANGE(""https://docs.google.com/spreadsheets/d/1QqKyyYR6Q21VydFLVH3TRQUabQu_ym0Zz7PgGX0-kHA/edit?usp=sharing"",""แผน!GA55"")"),130)</f>
        <v>130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4">J516</f>
        <v>0</v>
      </c>
      <c r="K500" s="626">
        <f t="shared" ref="K500:K501" si="215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4"/>
        <v>0</v>
      </c>
      <c r="K501" s="635">
        <f t="shared" si="215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6">L503+L504</f>
        <v>0</v>
      </c>
      <c r="M502" s="639">
        <f t="shared" si="216"/>
        <v>0</v>
      </c>
      <c r="N502" s="639">
        <f t="shared" si="216"/>
        <v>0</v>
      </c>
      <c r="O502" s="639">
        <f t="shared" ref="O502:O507" si="217">IF(L502&gt;0,N502*100/L502,0)</f>
        <v>0</v>
      </c>
      <c r="P502" s="639">
        <f t="shared" ref="P502:P507" si="218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9">L506+L513</f>
        <v>0</v>
      </c>
      <c r="M503" s="90">
        <f t="shared" si="219"/>
        <v>0</v>
      </c>
      <c r="N503" s="90">
        <f t="shared" si="219"/>
        <v>0</v>
      </c>
      <c r="O503" s="90">
        <f t="shared" si="217"/>
        <v>0</v>
      </c>
      <c r="P503" s="90">
        <f t="shared" si="218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9"/>
        <v>0</v>
      </c>
      <c r="M504" s="90">
        <f t="shared" si="219"/>
        <v>0</v>
      </c>
      <c r="N504" s="90">
        <f t="shared" si="219"/>
        <v>0</v>
      </c>
      <c r="O504" s="90">
        <f t="shared" si="217"/>
        <v>0</v>
      </c>
      <c r="P504" s="90">
        <f t="shared" si="218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20">L506+L507</f>
        <v>0</v>
      </c>
      <c r="M505" s="90">
        <f t="shared" si="220"/>
        <v>0</v>
      </c>
      <c r="N505" s="90">
        <f t="shared" si="220"/>
        <v>0</v>
      </c>
      <c r="O505" s="90">
        <f t="shared" si="217"/>
        <v>0</v>
      </c>
      <c r="P505" s="90">
        <f t="shared" si="218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7"/>
        <v>0</v>
      </c>
      <c r="P506" s="90">
        <f t="shared" si="218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7"/>
        <v>0</v>
      </c>
      <c r="P507" s="90">
        <f t="shared" si="218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1">L513+L514</f>
        <v>0</v>
      </c>
      <c r="M512" s="90">
        <f t="shared" si="221"/>
        <v>0</v>
      </c>
      <c r="N512" s="90">
        <f t="shared" si="221"/>
        <v>0</v>
      </c>
      <c r="O512" s="90">
        <f t="shared" ref="O512:O514" si="222">IF(L512&gt;0,N512*100/L512,0)</f>
        <v>0</v>
      </c>
      <c r="P512" s="90">
        <f t="shared" ref="P512:P514" si="223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2"/>
        <v>0</v>
      </c>
      <c r="P513" s="90">
        <f t="shared" si="223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2"/>
        <v>0</v>
      </c>
      <c r="P514" s="90">
        <f t="shared" si="223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4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4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5">I537</f>
        <v>0</v>
      </c>
      <c r="J522" s="698">
        <f t="shared" ca="1" si="225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9">L527+L534</f>
        <v>0</v>
      </c>
      <c r="M524" s="90">
        <f t="shared" si="229"/>
        <v>0</v>
      </c>
      <c r="N524" s="90">
        <f t="shared" si="229"/>
        <v>0</v>
      </c>
      <c r="O524" s="90">
        <f t="shared" si="227"/>
        <v>0</v>
      </c>
      <c r="P524" s="90">
        <f t="shared" si="228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9"/>
        <v>0</v>
      </c>
      <c r="M525" s="90">
        <f t="shared" si="229"/>
        <v>0</v>
      </c>
      <c r="N525" s="90">
        <f t="shared" si="229"/>
        <v>0</v>
      </c>
      <c r="O525" s="90">
        <f t="shared" ca="1" si="227"/>
        <v>0</v>
      </c>
      <c r="P525" s="90">
        <f t="shared" si="228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30">L527+L528</f>
        <v>0</v>
      </c>
      <c r="M526" s="495">
        <f t="shared" si="230"/>
        <v>0</v>
      </c>
      <c r="N526" s="495">
        <f t="shared" si="230"/>
        <v>0</v>
      </c>
      <c r="O526" s="495">
        <f t="shared" ca="1" si="227"/>
        <v>0</v>
      </c>
      <c r="P526" s="495">
        <f t="shared" si="228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7"/>
        <v>0</v>
      </c>
      <c r="P527" s="90">
        <f t="shared" si="228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IFERROR(__xludf.DUMMYFUNCTION("IMPORTRANGE(""https://docs.google.com/spreadsheets/d/1QqKyyYR6Q21VydFLVH3TRQUabQu_ym0Zz7PgGX0-kHA/edit?usp=sharing"",""แผน!GQ55"")"),0)</f>
        <v>0</v>
      </c>
      <c r="M528" s="90">
        <v>0</v>
      </c>
      <c r="N528" s="90">
        <f>N529+N530+N531+N532</f>
        <v>0</v>
      </c>
      <c r="O528" s="90">
        <f t="shared" ca="1" si="227"/>
        <v>0</v>
      </c>
      <c r="P528" s="90">
        <f t="shared" si="228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1">L534+L535</f>
        <v>0</v>
      </c>
      <c r="M533" s="495">
        <f t="shared" si="231"/>
        <v>0</v>
      </c>
      <c r="N533" s="495">
        <f t="shared" si="231"/>
        <v>0</v>
      </c>
      <c r="O533" s="495">
        <f t="shared" ref="O533:O535" ca="1" si="232">IF(L533&gt;0,N533*100/L533,0)</f>
        <v>0</v>
      </c>
      <c r="P533" s="495">
        <f t="shared" ref="P533:P535" si="233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2"/>
        <v>0</v>
      </c>
      <c r="P534" s="90">
        <f t="shared" si="233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IFERROR(__xludf.DUMMYFUNCTION("IMPORTRANGE(""https://docs.google.com/spreadsheets/d/1QqKyyYR6Q21VydFLVH3TRQUabQu_ym0Zz7PgGX0-kHA/edit?usp=sharing"",""แผน!GT55"")"),0)</f>
        <v>0</v>
      </c>
      <c r="M535" s="90">
        <v>0</v>
      </c>
      <c r="N535" s="90">
        <v>0</v>
      </c>
      <c r="O535" s="90">
        <f t="shared" ca="1" si="232"/>
        <v>0</v>
      </c>
      <c r="P535" s="90">
        <f t="shared" si="233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IFERROR(__xludf.DUMMYFUNCTION("IMPORTRANGE(""https://docs.google.com/spreadsheets/d/1QqKyyYR6Q21VydFLVH3TRQUabQu_ym0Zz7PgGX0-kHA/edit?usp=sharing"",""แผน!GU55"")"),0)</f>
        <v>0</v>
      </c>
      <c r="J537" s="673">
        <f ca="1">IF(AND(J538=I538,J539=I539,J540=I540,J541=I541),I537,0)</f>
        <v>0</v>
      </c>
      <c r="K537" s="495">
        <f t="shared" ref="K537:K543" ca="1" si="234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IFERROR(__xludf.DUMMYFUNCTION("IMPORTRANGE(""https://docs.google.com/spreadsheets/d/1QqKyyYR6Q21VydFLVH3TRQUabQu_ym0Zz7PgGX0-kHA/edit?usp=sharing"",""แผน!GV55"")"),0)</f>
        <v>0</v>
      </c>
      <c r="J538" s="210">
        <v>0</v>
      </c>
      <c r="K538" s="495">
        <f t="shared" ca="1" si="234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IFERROR(__xludf.DUMMYFUNCTION("IMPORTRANGE(""https://docs.google.com/spreadsheets/d/1QqKyyYR6Q21VydFLVH3TRQUabQu_ym0Zz7PgGX0-kHA/edit?usp=sharing"",""แผน!GW55"")"),0)</f>
        <v>0</v>
      </c>
      <c r="J539" s="210">
        <v>0</v>
      </c>
      <c r="K539" s="495">
        <f t="shared" ca="1" si="234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IFERROR(__xludf.DUMMYFUNCTION("IMPORTRANGE(""https://docs.google.com/spreadsheets/d/1QqKyyYR6Q21VydFLVH3TRQUabQu_ym0Zz7PgGX0-kHA/edit?usp=sharing"",""แผน!GX55"")"),0)</f>
        <v>0</v>
      </c>
      <c r="J540" s="210">
        <v>0</v>
      </c>
      <c r="K540" s="495">
        <f t="shared" ca="1" si="234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IFERROR(__xludf.DUMMYFUNCTION("IMPORTRANGE(""https://docs.google.com/spreadsheets/d/1QqKyyYR6Q21VydFLVH3TRQUabQu_ym0Zz7PgGX0-kHA/edit?usp=sharing"",""แผน!GY55"")"),0)</f>
        <v>0</v>
      </c>
      <c r="J541" s="210">
        <v>0</v>
      </c>
      <c r="K541" s="495">
        <f t="shared" ca="1" si="234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IFERROR(__xludf.DUMMYFUNCTION("IMPORTRANGE(""https://docs.google.com/spreadsheets/d/1QqKyyYR6Q21VydFLVH3TRQUabQu_ym0Zz7PgGX0-kHA/edit?usp=sharing"",""แผน!GZ55"")"),0)</f>
        <v>0</v>
      </c>
      <c r="J542" s="210">
        <v>0</v>
      </c>
      <c r="K542" s="495">
        <f t="shared" ca="1" si="234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5">I559</f>
        <v>0</v>
      </c>
      <c r="J543" s="679">
        <f t="shared" si="235"/>
        <v>0</v>
      </c>
      <c r="K543" s="680">
        <f t="shared" ca="1" si="234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6">L545+L546</f>
        <v>219200</v>
      </c>
      <c r="M544" s="151">
        <f t="shared" si="236"/>
        <v>0</v>
      </c>
      <c r="N544" s="151">
        <f t="shared" si="236"/>
        <v>18232.3</v>
      </c>
      <c r="O544" s="151">
        <f t="shared" ref="O544:O549" ca="1" si="237">IF(L544&gt;0,N544*100/L544,0)</f>
        <v>8.317655109489051</v>
      </c>
      <c r="P544" s="151">
        <f t="shared" ref="P544:P549" si="238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9">L548+L556</f>
        <v>0</v>
      </c>
      <c r="M545" s="90">
        <f t="shared" ref="M545:N546" si="240">M548+M555</f>
        <v>0</v>
      </c>
      <c r="N545" s="90">
        <f t="shared" si="240"/>
        <v>0</v>
      </c>
      <c r="O545" s="90">
        <f t="shared" si="237"/>
        <v>0</v>
      </c>
      <c r="P545" s="90">
        <f t="shared" si="238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9"/>
        <v>219200</v>
      </c>
      <c r="M546" s="90">
        <f t="shared" si="240"/>
        <v>0</v>
      </c>
      <c r="N546" s="90">
        <f t="shared" si="240"/>
        <v>18232.3</v>
      </c>
      <c r="O546" s="90">
        <f t="shared" ca="1" si="237"/>
        <v>8.317655109489051</v>
      </c>
      <c r="P546" s="90">
        <f t="shared" si="238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1">L548+L549</f>
        <v>219200</v>
      </c>
      <c r="M547" s="495">
        <f t="shared" si="241"/>
        <v>0</v>
      </c>
      <c r="N547" s="495">
        <f t="shared" si="241"/>
        <v>18232.3</v>
      </c>
      <c r="O547" s="495">
        <f t="shared" ca="1" si="237"/>
        <v>8.317655109489051</v>
      </c>
      <c r="P547" s="495">
        <f t="shared" si="238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7"/>
        <v>0</v>
      </c>
      <c r="P548" s="90">
        <f t="shared" si="238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IFERROR(__xludf.DUMMYFUNCTION("IMPORTRANGE(""https://docs.google.com/spreadsheets/d/1QqKyyYR6Q21VydFLVH3TRQUabQu_ym0Zz7PgGX0-kHA/edit?usp=sharing"",""แผน!HB55"")"),219200)</f>
        <v>219200</v>
      </c>
      <c r="M549" s="90">
        <v>0</v>
      </c>
      <c r="N549" s="90">
        <f>N550+N551+N552+N553+N554</f>
        <v>18232.3</v>
      </c>
      <c r="O549" s="90">
        <f t="shared" ca="1" si="237"/>
        <v>8.317655109489051</v>
      </c>
      <c r="P549" s="90">
        <f t="shared" si="238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13000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f>684.8+4547.5</f>
        <v>5232.3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2">L556+L557</f>
        <v>0</v>
      </c>
      <c r="M555" s="495">
        <f t="shared" si="242"/>
        <v>0</v>
      </c>
      <c r="N555" s="495">
        <f t="shared" si="242"/>
        <v>0</v>
      </c>
      <c r="O555" s="495">
        <f t="shared" ref="O555:O557" ca="1" si="243">IF(L555&gt;0,N555*100/L555,0)</f>
        <v>0</v>
      </c>
      <c r="P555" s="495">
        <f t="shared" ref="P555:P557" si="244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3"/>
        <v>0</v>
      </c>
      <c r="P556" s="90">
        <f t="shared" si="244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IFERROR(__xludf.DUMMYFUNCTION("IMPORTRANGE(""https://docs.google.com/spreadsheets/d/1QqKyyYR6Q21VydFLVH3TRQUabQu_ym0Zz7PgGX0-kHA/edit?usp=sharing"",""แผน!HF55"")"),0)</f>
        <v>0</v>
      </c>
      <c r="M557" s="90">
        <v>0</v>
      </c>
      <c r="N557" s="90">
        <v>0</v>
      </c>
      <c r="O557" s="90">
        <f t="shared" ca="1" si="243"/>
        <v>0</v>
      </c>
      <c r="P557" s="90">
        <f t="shared" si="244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5">I576</f>
        <v>0</v>
      </c>
      <c r="J559" s="698">
        <f t="shared" si="245"/>
        <v>0</v>
      </c>
      <c r="K559" s="669">
        <f t="shared" ref="K559:K561" ca="1" si="246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IFERROR(__xludf.DUMMYFUNCTION("IMPORTRANGE(""https://docs.google.com/spreadsheets/d/1QqKyyYR6Q21VydFLVH3TRQUabQu_ym0Zz7PgGX0-kHA/edit?usp=sharing"",""แผน!HH55"")"),0)</f>
        <v>0</v>
      </c>
      <c r="J560" s="189">
        <f t="shared" ref="J560:J561" si="247">J562+J564+J566</f>
        <v>0</v>
      </c>
      <c r="K560" s="409">
        <f t="shared" ca="1" si="246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IFERROR(__xludf.DUMMYFUNCTION("IMPORTRANGE(""https://docs.google.com/spreadsheets/d/1QqKyyYR6Q21VydFLVH3TRQUabQu_ym0Zz7PgGX0-kHA/edit?usp=sharing"",""แผน!HG55"")"),0)</f>
        <v>0</v>
      </c>
      <c r="J561" s="189">
        <f t="shared" si="247"/>
        <v>0</v>
      </c>
      <c r="K561" s="409">
        <f t="shared" ca="1" si="246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IFERROR(__xludf.DUMMYFUNCTION("IMPORTRANGE(""https://docs.google.com/spreadsheets/d/1QqKyyYR6Q21VydFLVH3TRQUabQu_ym0Zz7PgGX0-kHA/edit?usp=sharing"",""แผน!HH55"")"),0)</f>
        <v>0</v>
      </c>
      <c r="J568" s="673">
        <f t="shared" ref="J568:J569" si="248">J570+J572+J574</f>
        <v>0</v>
      </c>
      <c r="K568" s="409">
        <f t="shared" ref="K568:K569" ca="1" si="249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IFERROR(__xludf.DUMMYFUNCTION("IMPORTRANGE(""https://docs.google.com/spreadsheets/d/1QqKyyYR6Q21VydFLVH3TRQUabQu_ym0Zz7PgGX0-kHA/edit?usp=sharing"",""แผน!HG55"")"),0)</f>
        <v>0</v>
      </c>
      <c r="J569" s="673">
        <f t="shared" si="248"/>
        <v>0</v>
      </c>
      <c r="K569" s="409">
        <f t="shared" ca="1" si="249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IFERROR(__xludf.DUMMYFUNCTION("IMPORTRANGE(""https://docs.google.com/spreadsheets/d/1QqKyyYR6Q21VydFLVH3TRQUabQu_ym0Zz7PgGX0-kHA/edit?usp=sharing"",""แผน!HH55"")"),0)</f>
        <v>0</v>
      </c>
      <c r="J576" s="673">
        <f t="shared" ref="J576:J577" si="250">J578+J580+J582+J588+J590</f>
        <v>0</v>
      </c>
      <c r="K576" s="409">
        <f t="shared" ref="K576:K577" ca="1" si="251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IFERROR(__xludf.DUMMYFUNCTION("IMPORTRANGE(""https://docs.google.com/spreadsheets/d/1QqKyyYR6Q21VydFLVH3TRQUabQu_ym0Zz7PgGX0-kHA/edit?usp=sharing"",""แผน!HG55"")"),0)</f>
        <v>0</v>
      </c>
      <c r="J577" s="673">
        <f t="shared" si="250"/>
        <v>0</v>
      </c>
      <c r="K577" s="409">
        <f t="shared" ca="1" si="251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2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2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3">I593</f>
        <v>1050</v>
      </c>
      <c r="J592" s="698">
        <f t="shared" si="253"/>
        <v>0</v>
      </c>
      <c r="K592" s="669">
        <f t="shared" ref="K592:K594" ca="1" si="254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IFERROR(__xludf.DUMMYFUNCTION("IMPORTRANGE(""https://docs.google.com/spreadsheets/d/1QqKyyYR6Q21VydFLVH3TRQUabQu_ym0Zz7PgGX0-kHA/edit?usp=sharing"",""แผน!HJ55"")"),1050)</f>
        <v>1050</v>
      </c>
      <c r="J593" s="189">
        <f t="shared" ref="J593:J594" si="255">J595+J603+J609</f>
        <v>0</v>
      </c>
      <c r="K593" s="409">
        <f t="shared" ca="1" si="254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IFERROR(__xludf.DUMMYFUNCTION("IMPORTRANGE(""https://docs.google.com/spreadsheets/d/1QqKyyYR6Q21VydFLVH3TRQUabQu_ym0Zz7PgGX0-kHA/edit?usp=sharing"",""แผน!HI55"")"),24)</f>
        <v>24</v>
      </c>
      <c r="J594" s="189">
        <f t="shared" si="255"/>
        <v>0</v>
      </c>
      <c r="K594" s="409">
        <f t="shared" ca="1" si="254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6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6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7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7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8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9">J614+J616</f>
        <v>0</v>
      </c>
      <c r="K612" s="707">
        <f t="shared" si="258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9"/>
        <v>0</v>
      </c>
      <c r="K613" s="707">
        <f t="shared" si="258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IFERROR(__xludf.DUMMYFUNCTION("IMPORTRANGE(""https://docs.google.com/spreadsheets/d/1QqKyyYR6Q21VydFLVH3TRQUabQu_ym0Zz7PgGX0-kHA/edit?usp=sharing"",""แผน!HL55"")"),0)</f>
        <v>0</v>
      </c>
      <c r="J620" s="718">
        <f t="shared" ref="J620:J621" si="260">J622+J624+J626</f>
        <v>0</v>
      </c>
      <c r="K620" s="719">
        <f t="shared" ref="K620:K621" ca="1" si="261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IFERROR(__xludf.DUMMYFUNCTION("IMPORTRANGE(""https://docs.google.com/spreadsheets/d/1QqKyyYR6Q21VydFLVH3TRQUabQu_ym0Zz7PgGX0-kHA/edit?usp=sharing"",""แผน!HK55"")"),0)</f>
        <v>0</v>
      </c>
      <c r="J621" s="718">
        <f t="shared" si="260"/>
        <v>0</v>
      </c>
      <c r="K621" s="719">
        <f t="shared" ca="1" si="261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2">I651</f>
        <v>0</v>
      </c>
      <c r="J628" s="731">
        <f t="shared" ca="1" si="262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3">L630+L631</f>
        <v>0</v>
      </c>
      <c r="M629" s="191">
        <f t="shared" si="263"/>
        <v>0</v>
      </c>
      <c r="N629" s="191">
        <f t="shared" si="263"/>
        <v>0</v>
      </c>
      <c r="O629" s="191">
        <f t="shared" ref="O629:O634" ca="1" si="264">IF(L629&gt;0,N629*100/L629,0)</f>
        <v>0</v>
      </c>
      <c r="P629" s="191">
        <f t="shared" ref="P629:P634" si="265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6">L633+L640</f>
        <v>0</v>
      </c>
      <c r="M630" s="90">
        <f t="shared" si="266"/>
        <v>0</v>
      </c>
      <c r="N630" s="90">
        <f t="shared" si="266"/>
        <v>0</v>
      </c>
      <c r="O630" s="90">
        <f t="shared" si="264"/>
        <v>0</v>
      </c>
      <c r="P630" s="90">
        <f t="shared" si="265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6"/>
        <v>0</v>
      </c>
      <c r="M631" s="90">
        <f t="shared" si="266"/>
        <v>0</v>
      </c>
      <c r="N631" s="90">
        <f t="shared" si="266"/>
        <v>0</v>
      </c>
      <c r="O631" s="90">
        <f t="shared" ca="1" si="264"/>
        <v>0</v>
      </c>
      <c r="P631" s="90">
        <f t="shared" si="265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7">L633+L634</f>
        <v>0</v>
      </c>
      <c r="M632" s="495">
        <f t="shared" si="267"/>
        <v>0</v>
      </c>
      <c r="N632" s="495">
        <f t="shared" si="267"/>
        <v>0</v>
      </c>
      <c r="O632" s="495">
        <f t="shared" ca="1" si="264"/>
        <v>0</v>
      </c>
      <c r="P632" s="495">
        <f t="shared" si="265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4"/>
        <v>0</v>
      </c>
      <c r="P633" s="90">
        <f t="shared" si="265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IFERROR(__xludf.DUMMYFUNCTION("IMPORTRANGE(""https://docs.google.com/spreadsheets/d/1QqKyyYR6Q21VydFLVH3TRQUabQu_ym0Zz7PgGX0-kHA/edit?usp=sharing"",""แผน!HN55"")"),0)</f>
        <v>0</v>
      </c>
      <c r="M634" s="90">
        <v>0</v>
      </c>
      <c r="N634" s="90">
        <f>N635+N636+N637+N638</f>
        <v>0</v>
      </c>
      <c r="O634" s="90">
        <f t="shared" ca="1" si="264"/>
        <v>0</v>
      </c>
      <c r="P634" s="90">
        <f t="shared" si="265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8">L640+L641</f>
        <v>0</v>
      </c>
      <c r="M639" s="495">
        <f t="shared" si="268"/>
        <v>0</v>
      </c>
      <c r="N639" s="495">
        <f t="shared" si="268"/>
        <v>0</v>
      </c>
      <c r="O639" s="495">
        <f t="shared" ref="O639:O641" ca="1" si="269">IF(L639&gt;0,N639*100/L639,0)</f>
        <v>0</v>
      </c>
      <c r="P639" s="495">
        <f t="shared" ref="P639:P641" si="270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9"/>
        <v>0</v>
      </c>
      <c r="P640" s="90">
        <f t="shared" si="270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IFERROR(__xludf.DUMMYFUNCTION("IMPORTRANGE(""https://docs.google.com/spreadsheets/d/1QqKyyYR6Q21VydFLVH3TRQUabQu_ym0Zz7PgGX0-kHA/edit?usp=sharing"",""แผน!HQ55"")"),0)</f>
        <v>0</v>
      </c>
      <c r="M641" s="90">
        <v>0</v>
      </c>
      <c r="N641" s="90">
        <v>0</v>
      </c>
      <c r="O641" s="90">
        <f t="shared" ca="1" si="269"/>
        <v>0</v>
      </c>
      <c r="P641" s="90">
        <f t="shared" si="270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IFERROR(__xludf.DUMMYFUNCTION("IMPORTRANGE(""https://docs.google.com/spreadsheets/d/1QqKyyYR6Q21VydFLVH3TRQUabQu_ym0Zz7PgGX0-kHA/edit?usp=sharing"",""แผน!HR55"")"),0)</f>
        <v>0</v>
      </c>
      <c r="J643" s="210">
        <v>0</v>
      </c>
      <c r="K643" s="159">
        <f t="shared" ref="K643:K652" ca="1" si="271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IFERROR(__xludf.DUMMYFUNCTION("IMPORTRANGE(""https://docs.google.com/spreadsheets/d/1QqKyyYR6Q21VydFLVH3TRQUabQu_ym0Zz7PgGX0-kHA/edit?usp=sharing"",""แผน!HR55"")"),0)</f>
        <v>0</v>
      </c>
      <c r="J644" s="210">
        <v>0</v>
      </c>
      <c r="K644" s="159">
        <f t="shared" ca="1" si="271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IFERROR(__xludf.DUMMYFUNCTION("IMPORTRANGE(""https://docs.google.com/spreadsheets/d/1XWAQStnk-4SwqDmLtmXYiTMKHgktTP8We1SCoS47DrQ/edit?usp=sharing"",""จัดที่ดิน!AS55"")"),51)</f>
        <v>51</v>
      </c>
      <c r="K645" s="159">
        <f t="shared" si="271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IFERROR(__xludf.DUMMYFUNCTION("IMPORTRANGE(""https://docs.google.com/spreadsheets/d/1XWAQStnk-4SwqDmLtmXYiTMKHgktTP8We1SCoS47DrQ/edit?usp=sharing"",""จัดที่ดิน!AT55"")"),95.88)</f>
        <v>95.88</v>
      </c>
      <c r="K646" s="495">
        <f t="shared" si="271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IFERROR(__xludf.DUMMYFUNCTION("IMPORTRANGE(""https://docs.google.com/spreadsheets/d/1QqKyyYR6Q21VydFLVH3TRQUabQu_ym0Zz7PgGX0-kHA/edit?usp=sharing"",""แผน!HS55"")"),0)</f>
        <v>0</v>
      </c>
      <c r="J647" s="264">
        <f ca="1">IFERROR(__xludf.DUMMYFUNCTION("IMPORTRANGE(""https://docs.google.com/spreadsheets/d/1XWAQStnk-4SwqDmLtmXYiTMKHgktTP8We1SCoS47DrQ/edit?usp=sharing"",""จัดที่ดิน!AU55"")"),0)</f>
        <v>0</v>
      </c>
      <c r="K647" s="159">
        <f t="shared" ca="1" si="271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IFERROR(__xludf.DUMMYFUNCTION("IMPORTRANGE(""https://docs.google.com/spreadsheets/d/1XWAQStnk-4SwqDmLtmXYiTMKHgktTP8We1SCoS47DrQ/edit?usp=sharing"",""จัดที่ดิน!AV55"")"),0)</f>
        <v>0</v>
      </c>
      <c r="K648" s="495">
        <f t="shared" si="271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IFERROR(__xludf.DUMMYFUNCTION("IMPORTRANGE(""https://docs.google.com/spreadsheets/d/1QqKyyYR6Q21VydFLVH3TRQUabQu_ym0Zz7PgGX0-kHA/edit?usp=sharing"",""แผน!HS55"")"),0)</f>
        <v>0</v>
      </c>
      <c r="J649" s="264">
        <f ca="1">IFERROR(__xludf.DUMMYFUNCTION("IMPORTRANGE(""https://docs.google.com/spreadsheets/d/1XWAQStnk-4SwqDmLtmXYiTMKHgktTP8We1SCoS47DrQ/edit?usp=sharing"",""จัดที่ดิน!AW55"")"),0)</f>
        <v>0</v>
      </c>
      <c r="K649" s="159">
        <f t="shared" ca="1" si="271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IFERROR(__xludf.DUMMYFUNCTION("IMPORTRANGE(""https://docs.google.com/spreadsheets/d/1XWAQStnk-4SwqDmLtmXYiTMKHgktTP8We1SCoS47DrQ/edit?usp=sharing"",""จัดที่ดิน!AX55"")"),0)</f>
        <v>0</v>
      </c>
      <c r="K650" s="495">
        <f t="shared" si="271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IFERROR(__xludf.DUMMYFUNCTION("IMPORTRANGE(""https://docs.google.com/spreadsheets/d/1QqKyyYR6Q21VydFLVH3TRQUabQu_ym0Zz7PgGX0-kHA/edit?usp=sharing"",""แผน!HS55"")"),0)</f>
        <v>0</v>
      </c>
      <c r="J651" s="264">
        <f ca="1">IFERROR(__xludf.DUMMYFUNCTION("IMPORTRANGE(""https://docs.google.com/spreadsheets/d/1XWAQStnk-4SwqDmLtmXYiTMKHgktTP8We1SCoS47DrQ/edit?usp=sharing"",""จัดที่ดิน!AY55"")"),0)</f>
        <v>0</v>
      </c>
      <c r="K651" s="159">
        <f t="shared" ca="1" si="271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IFERROR(__xludf.DUMMYFUNCTION("IMPORTRANGE(""https://docs.google.com/spreadsheets/d/1XWAQStnk-4SwqDmLtmXYiTMKHgktTP8We1SCoS47DrQ/edit?usp=sharing"",""จัดที่ดิน!AZ55"")"),0)</f>
        <v>0</v>
      </c>
      <c r="K652" s="499">
        <f t="shared" si="271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2">I669</f>
        <v>100</v>
      </c>
      <c r="J654" s="698">
        <f t="shared" si="272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3">L656+L657</f>
        <v>14000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6">L659+L666</f>
        <v>0</v>
      </c>
      <c r="M656" s="90">
        <f t="shared" si="276"/>
        <v>0</v>
      </c>
      <c r="N656" s="90">
        <f t="shared" si="276"/>
        <v>0</v>
      </c>
      <c r="O656" s="90">
        <f t="shared" si="274"/>
        <v>0</v>
      </c>
      <c r="P656" s="90">
        <f t="shared" si="275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6"/>
        <v>14000</v>
      </c>
      <c r="M657" s="90">
        <f t="shared" si="276"/>
        <v>0</v>
      </c>
      <c r="N657" s="90">
        <f t="shared" si="276"/>
        <v>0</v>
      </c>
      <c r="O657" s="90">
        <f t="shared" ca="1" si="274"/>
        <v>0</v>
      </c>
      <c r="P657" s="90">
        <f t="shared" si="275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7">L659+L660</f>
        <v>14000</v>
      </c>
      <c r="M658" s="495">
        <f t="shared" si="277"/>
        <v>0</v>
      </c>
      <c r="N658" s="495">
        <f t="shared" si="277"/>
        <v>0</v>
      </c>
      <c r="O658" s="495">
        <f t="shared" ca="1" si="274"/>
        <v>0</v>
      </c>
      <c r="P658" s="495">
        <f t="shared" si="275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4"/>
        <v>0</v>
      </c>
      <c r="P659" s="90">
        <f t="shared" si="275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IFERROR(__xludf.DUMMYFUNCTION("IMPORTRANGE(""https://docs.google.com/spreadsheets/d/1QqKyyYR6Q21VydFLVH3TRQUabQu_ym0Zz7PgGX0-kHA/edit?usp=sharing"",""แผน!HV55"")"),14000)</f>
        <v>14000</v>
      </c>
      <c r="M660" s="90">
        <v>0</v>
      </c>
      <c r="N660" s="90">
        <f>N661+N662+N663+N664</f>
        <v>0</v>
      </c>
      <c r="O660" s="90">
        <f t="shared" ca="1" si="274"/>
        <v>0</v>
      </c>
      <c r="P660" s="90">
        <f t="shared" si="275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8">L666+L667</f>
        <v>0</v>
      </c>
      <c r="M665" s="495">
        <f t="shared" si="278"/>
        <v>0</v>
      </c>
      <c r="N665" s="495">
        <f t="shared" si="278"/>
        <v>0</v>
      </c>
      <c r="O665" s="495">
        <f t="shared" ref="O665:O667" si="279">IF(L665&gt;0,N665*100/L665,0)</f>
        <v>0</v>
      </c>
      <c r="P665" s="495">
        <f t="shared" ref="P665:P667" si="280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9"/>
        <v>0</v>
      </c>
      <c r="P666" s="90">
        <f t="shared" si="280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9"/>
        <v>0</v>
      </c>
      <c r="P667" s="90">
        <f t="shared" si="280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IFERROR(__xludf.DUMMYFUNCTION("IMPORTRANGE(""https://docs.google.com/spreadsheets/d/1QqKyyYR6Q21VydFLVH3TRQUabQu_ym0Zz7PgGX0-kHA/edit?usp=sharing"",""แผน!IA55"")"),100)</f>
        <v>100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IFERROR(__xludf.DUMMYFUNCTION("IMPORTRANGE(""https://docs.google.com/spreadsheets/d/1QqKyyYR6Q21VydFLVH3TRQUabQu_ym0Zz7PgGX0-kHA/edit?usp=sharing"",""แผน!HZ55"")"),5)</f>
        <v>5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IFERROR(__xludf.DUMMYFUNCTION("IMPORTRANGE(""https://docs.google.com/spreadsheets/d/1QqKyyYR6Q21VydFLVH3TRQUabQu_ym0Zz7PgGX0-kHA/edit?usp=sharing"",""แผน!HZ55"")"),5)</f>
        <v>5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1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1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1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1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IFERROR(__xludf.DUMMYFUNCTION("IMPORTRANGE(""https://docs.google.com/spreadsheets/d/1QqKyyYR6Q21VydFLVH3TRQUabQu_ym0Zz7PgGX0-kHA/edit?usp=sharing"",""แผน!IB55"")"),0)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2">L686+L687</f>
        <v>31600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5">L689+L696</f>
        <v>0</v>
      </c>
      <c r="M686" s="90">
        <f t="shared" si="285"/>
        <v>0</v>
      </c>
      <c r="N686" s="90">
        <f t="shared" si="285"/>
        <v>0</v>
      </c>
      <c r="O686" s="90">
        <f t="shared" si="283"/>
        <v>0</v>
      </c>
      <c r="P686" s="90">
        <f t="shared" si="284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5"/>
        <v>31600</v>
      </c>
      <c r="M687" s="90">
        <f t="shared" si="285"/>
        <v>0</v>
      </c>
      <c r="N687" s="90">
        <f t="shared" si="285"/>
        <v>0</v>
      </c>
      <c r="O687" s="90">
        <f t="shared" ca="1" si="283"/>
        <v>0</v>
      </c>
      <c r="P687" s="90">
        <f t="shared" si="284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6">L689+L690</f>
        <v>31600</v>
      </c>
      <c r="M688" s="495">
        <f t="shared" si="286"/>
        <v>0</v>
      </c>
      <c r="N688" s="495">
        <f t="shared" si="286"/>
        <v>0</v>
      </c>
      <c r="O688" s="495">
        <f t="shared" ca="1" si="283"/>
        <v>0</v>
      </c>
      <c r="P688" s="495">
        <f t="shared" si="284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IFERROR(__xludf.DUMMYFUNCTION("IMPORTRANGE(""https://docs.google.com/spreadsheets/d/1QqKyyYR6Q21VydFLVH3TRQUabQu_ym0Zz7PgGX0-kHA/edit?usp=sharing"",""แผน!HW55"")"),31600)</f>
        <v>31600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7">L696+L697</f>
        <v>0</v>
      </c>
      <c r="M695" s="495">
        <f t="shared" si="287"/>
        <v>0</v>
      </c>
      <c r="N695" s="495">
        <f t="shared" si="287"/>
        <v>0</v>
      </c>
      <c r="O695" s="495">
        <f t="shared" ref="O695:O697" si="288">IF(L695&gt;0,N695*100/L695,0)</f>
        <v>0</v>
      </c>
      <c r="P695" s="495">
        <f t="shared" ref="P695:P697" si="289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8"/>
        <v>0</v>
      </c>
      <c r="P696" s="90">
        <f t="shared" si="289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8"/>
        <v>0</v>
      </c>
      <c r="P697" s="90">
        <f t="shared" si="289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IFERROR(__xludf.DUMMYFUNCTION("IMPORTRANGE(""https://docs.google.com/spreadsheets/d/1QqKyyYR6Q21VydFLVH3TRQUabQu_ym0Zz7PgGX0-kHA/edit?usp=sharing"",""แผน!IC55"")"),0)</f>
        <v>0</v>
      </c>
      <c r="J699" s="264">
        <f ca="1">IFERROR(__xludf.DUMMYFUNCTION("IMPORTRANGE(""https://docs.google.com/spreadsheets/d/1XWAQStnk-4SwqDmLtmXYiTMKHgktTP8We1SCoS47DrQ/edit?usp=sharing"",""จัดที่ดิน!BB55"")"),0)</f>
        <v>0</v>
      </c>
      <c r="K699" s="495">
        <f t="shared" ref="K699:K701" ca="1" si="290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IFERROR(__xludf.DUMMYFUNCTION("IMPORTRANGE(""https://docs.google.com/spreadsheets/d/1QqKyyYR6Q21VydFLVH3TRQUabQu_ym0Zz7PgGX0-kHA/edit?usp=sharing"",""แผน!ID55"")"),0)</f>
        <v>0</v>
      </c>
      <c r="J700" s="264">
        <f ca="1">IFERROR(__xludf.DUMMYFUNCTION("IMPORTRANGE(""https://docs.google.com/spreadsheets/d/1XWAQStnk-4SwqDmLtmXYiTMKHgktTP8We1SCoS47DrQ/edit?usp=sharing"",""จัดที่ดิน!BD55"")"),0)</f>
        <v>0</v>
      </c>
      <c r="K700" s="495">
        <f t="shared" ca="1" si="290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IFERROR(__xludf.DUMMYFUNCTION("IMPORTRANGE(""https://docs.google.com/spreadsheets/d/1QqKyyYR6Q21VydFLVH3TRQUabQu_ym0Zz7PgGX0-kHA/edit?usp=sharing"",""แผน!IE55"")"),300)</f>
        <v>300</v>
      </c>
      <c r="J701" s="673">
        <f>J704+J707</f>
        <v>0</v>
      </c>
      <c r="K701" s="191">
        <f t="shared" ca="1" si="290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IFERROR(__xludf.DUMMYFUNCTION("IMPORTRANGE(""https://docs.google.com/spreadsheets/d/1QqKyyYR6Q21VydFLVH3TRQUabQu_ym0Zz7PgGX0-kHA/edit?usp=sharing"",""แผน!IF55"")"),300)</f>
        <v>300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IFERROR(__xludf.DUMMYFUNCTION("IMPORTRANGE(""https://docs.google.com/spreadsheets/d/1QqKyyYR6Q21VydFLVH3TRQUabQu_ym0Zz7PgGX0-kHA/edit?usp=sharing"",""แผน!IG55"")"),0)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IFERROR(__xludf.DUMMYFUNCTION("IMPORTRANGE(""https://docs.google.com/spreadsheets/d/1QqKyyYR6Q21VydFLVH3TRQUabQu_ym0Zz7PgGX0-kHA/edit?usp=sharing"",""แผน!IH55"")"),150)</f>
        <v>150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IFERROR(__xludf.DUMMYFUNCTION("IMPORTRANGE(""https://docs.google.com/spreadsheets/d/1XWAQStnk-4SwqDmLtmXYiTMKHgktTP8We1SCoS47DrQ/edit?usp=sharing"",""จัดที่ดิน!BF55"")"),0)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IFERROR(__xludf.DUMMYFUNCTION("IMPORTRANGE(""https://docs.google.com/spreadsheets/d/1XWAQStnk-4SwqDmLtmXYiTMKHgktTP8We1SCoS47DrQ/edit?usp=sharing"",""จัดที่ดิน!BG55"")"),0)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IFERROR(__xludf.DUMMYFUNCTION("IMPORTRANGE(""https://docs.google.com/spreadsheets/d/1QqKyyYR6Q21VydFLVH3TRQUabQu_ym0Zz7PgGX0-kHA/edit?usp=sharing"",""แผน!II55"")"),80)</f>
        <v>80</v>
      </c>
      <c r="J720" s="264">
        <f ca="1">IFERROR(__xludf.DUMMYFUNCTION("IMPORTRANGE(""https://docs.google.com/spreadsheets/d/1XWAQStnk-4SwqDmLtmXYiTMKHgktTP8We1SCoS47DrQ/edit?usp=sharing"",""จัดที่ดิน!BH55"")"),0)</f>
        <v>0</v>
      </c>
      <c r="K720" s="495">
        <f t="shared" ref="K720:K723" ca="1" si="291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IFERROR(__xludf.DUMMYFUNCTION("IMPORTRANGE(""https://docs.google.com/spreadsheets/d/1QqKyyYR6Q21VydFLVH3TRQUabQu_ym0Zz7PgGX0-kHA/edit?usp=sharing"",""แผน!IJ55"")"),35)</f>
        <v>35</v>
      </c>
      <c r="J721" s="673">
        <f ca="1">J723+J726</f>
        <v>0</v>
      </c>
      <c r="K721" s="191">
        <f t="shared" ca="1" si="291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IFERROR(__xludf.DUMMYFUNCTION("IMPORTRANGE(""https://docs.google.com/spreadsheets/d/1QqKyyYR6Q21VydFLVH3TRQUabQu_ym0Zz7PgGX0-kHA/edit?usp=sharing"",""แผน!IK55"")"),350)</f>
        <v>350</v>
      </c>
      <c r="J722" s="673">
        <f ca="1">J725+J728</f>
        <v>0</v>
      </c>
      <c r="K722" s="191">
        <f t="shared" ca="1" si="291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IFERROR(__xludf.DUMMYFUNCTION("IMPORTRANGE(""https://docs.google.com/spreadsheets/d/1QqKyyYR6Q21VydFLVH3TRQUabQu_ym0Zz7PgGX0-kHA/edit?usp=sharing"",""แผน!IL55"")"),30)</f>
        <v>30</v>
      </c>
      <c r="J723" s="264">
        <f ca="1">IFERROR(__xludf.DUMMYFUNCTION("IMPORTRANGE(""https://docs.google.com/spreadsheets/d/1XWAQStnk-4SwqDmLtmXYiTMKHgktTP8We1SCoS47DrQ/edit?usp=sharing"",""จัดที่ดิน!BM55"")"),0)</f>
        <v>0</v>
      </c>
      <c r="K723" s="495">
        <f t="shared" ca="1" si="291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IFERROR(__xludf.DUMMYFUNCTION("IMPORTRANGE(""https://docs.google.com/spreadsheets/d/1XWAQStnk-4SwqDmLtmXYiTMKHgktTP8We1SCoS47DrQ/edit?usp=sharing"",""จัดที่ดิน!BN55"")"),0)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IFERROR(__xludf.DUMMYFUNCTION("IMPORTRANGE(""https://docs.google.com/spreadsheets/d/1QqKyyYR6Q21VydFLVH3TRQUabQu_ym0Zz7PgGX0-kHA/edit?usp=sharing"",""แผน!IM55"")"),300)</f>
        <v>300</v>
      </c>
      <c r="J725" s="264">
        <f ca="1">IFERROR(__xludf.DUMMYFUNCTION("IMPORTRANGE(""https://docs.google.com/spreadsheets/d/1XWAQStnk-4SwqDmLtmXYiTMKHgktTP8We1SCoS47DrQ/edit?usp=sharing"",""จัดที่ดิน!BO55"")"),0)</f>
        <v>0</v>
      </c>
      <c r="K725" s="495">
        <f t="shared" ref="K725:K726" ca="1" si="292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IFERROR(__xludf.DUMMYFUNCTION("IMPORTRANGE(""https://docs.google.com/spreadsheets/d/1QqKyyYR6Q21VydFLVH3TRQUabQu_ym0Zz7PgGX0-kHA/edit?usp=sharing"",""แผน!IN55"")"),5)</f>
        <v>5</v>
      </c>
      <c r="J726" s="264">
        <f ca="1">IFERROR(__xludf.DUMMYFUNCTION("IMPORTRANGE(""https://docs.google.com/spreadsheets/d/1XWAQStnk-4SwqDmLtmXYiTMKHgktTP8We1SCoS47DrQ/edit?usp=sharing"",""จัดที่ดิน!BR55"")"),0)</f>
        <v>0</v>
      </c>
      <c r="K726" s="495">
        <f t="shared" ca="1" si="292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IFERROR(__xludf.DUMMYFUNCTION("IMPORTRANGE(""https://docs.google.com/spreadsheets/d/1XWAQStnk-4SwqDmLtmXYiTMKHgktTP8We1SCoS47DrQ/edit?usp=sharing"",""จัดที่ดิน!BS55"")"),0)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IFERROR(__xludf.DUMMYFUNCTION("IMPORTRANGE(""https://docs.google.com/spreadsheets/d/1QqKyyYR6Q21VydFLVH3TRQUabQu_ym0Zz7PgGX0-kHA/edit?usp=sharing"",""แผน!IO55"")"),50)</f>
        <v>50</v>
      </c>
      <c r="J728" s="264">
        <f ca="1">IFERROR(__xludf.DUMMYFUNCTION("IMPORTRANGE(""https://docs.google.com/spreadsheets/d/1XWAQStnk-4SwqDmLtmXYiTMKHgktTP8We1SCoS47DrQ/edit?usp=sharing"",""จัดที่ดิน!BT55"")"),0)</f>
        <v>0</v>
      </c>
      <c r="K728" s="495">
        <f t="shared" ref="K728:K729" ca="1" si="293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IFERROR(__xludf.DUMMYFUNCTION("IMPORTRANGE(""https://docs.google.com/spreadsheets/d/1QqKyyYR6Q21VydFLVH3TRQUabQu_ym0Zz7PgGX0-kHA/edit?usp=sharing"",""แผน!IP55"")"),100)</f>
        <v>100</v>
      </c>
      <c r="J729" s="673">
        <f>J732+J735</f>
        <v>0</v>
      </c>
      <c r="K729" s="191">
        <f t="shared" ca="1" si="293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4">L738+L739</f>
        <v>0</v>
      </c>
      <c r="M737" s="639">
        <f t="shared" si="294"/>
        <v>0</v>
      </c>
      <c r="N737" s="639">
        <f t="shared" si="294"/>
        <v>0</v>
      </c>
      <c r="O737" s="639">
        <f t="shared" ref="O737:O742" si="295">IF(L737&gt;0,N737*100/L737,0)</f>
        <v>0</v>
      </c>
      <c r="P737" s="639">
        <f t="shared" ref="P737:P742" si="296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7">L741+L748</f>
        <v>0</v>
      </c>
      <c r="M738" s="90">
        <f t="shared" si="297"/>
        <v>0</v>
      </c>
      <c r="N738" s="90">
        <f t="shared" si="297"/>
        <v>0</v>
      </c>
      <c r="O738" s="90">
        <f t="shared" si="295"/>
        <v>0</v>
      </c>
      <c r="P738" s="90">
        <f t="shared" si="296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7"/>
        <v>0</v>
      </c>
      <c r="M739" s="90">
        <f t="shared" si="297"/>
        <v>0</v>
      </c>
      <c r="N739" s="90">
        <f t="shared" si="297"/>
        <v>0</v>
      </c>
      <c r="O739" s="90">
        <f t="shared" si="295"/>
        <v>0</v>
      </c>
      <c r="P739" s="90">
        <f t="shared" si="296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8">L741+L742</f>
        <v>0</v>
      </c>
      <c r="M740" s="639">
        <f t="shared" si="298"/>
        <v>0</v>
      </c>
      <c r="N740" s="639">
        <f t="shared" si="298"/>
        <v>0</v>
      </c>
      <c r="O740" s="639">
        <f t="shared" si="295"/>
        <v>0</v>
      </c>
      <c r="P740" s="639">
        <f t="shared" si="296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5"/>
        <v>0</v>
      </c>
      <c r="P741" s="90">
        <f t="shared" si="296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5"/>
        <v>0</v>
      </c>
      <c r="P742" s="90">
        <f t="shared" si="296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9">L748+L749</f>
        <v>0</v>
      </c>
      <c r="M747" s="639">
        <f t="shared" si="299"/>
        <v>0</v>
      </c>
      <c r="N747" s="639">
        <f t="shared" si="299"/>
        <v>0</v>
      </c>
      <c r="O747" s="639">
        <f t="shared" ref="O747:O749" si="300">IF(L747&gt;0,N747*100/L747,0)</f>
        <v>0</v>
      </c>
      <c r="P747" s="639">
        <f t="shared" ref="P747:P749" si="301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300"/>
        <v>0</v>
      </c>
      <c r="P748" s="90">
        <f t="shared" si="301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300"/>
        <v>0</v>
      </c>
      <c r="P749" s="90">
        <f t="shared" si="301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2">L755+L756</f>
        <v>0</v>
      </c>
      <c r="M754" s="639">
        <f t="shared" si="302"/>
        <v>0</v>
      </c>
      <c r="N754" s="639">
        <f t="shared" si="302"/>
        <v>0</v>
      </c>
      <c r="O754" s="639">
        <f t="shared" ref="O754:O759" si="303">IF(L754&gt;0,N754*100/L754,0)</f>
        <v>0</v>
      </c>
      <c r="P754" s="639">
        <f t="shared" ref="P754:P759" si="304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5">L758+L765</f>
        <v>0</v>
      </c>
      <c r="M755" s="90">
        <f t="shared" si="305"/>
        <v>0</v>
      </c>
      <c r="N755" s="90">
        <f t="shared" si="305"/>
        <v>0</v>
      </c>
      <c r="O755" s="90">
        <f t="shared" si="303"/>
        <v>0</v>
      </c>
      <c r="P755" s="90">
        <f t="shared" si="304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5"/>
        <v>0</v>
      </c>
      <c r="M756" s="90">
        <f t="shared" si="305"/>
        <v>0</v>
      </c>
      <c r="N756" s="90">
        <f t="shared" si="305"/>
        <v>0</v>
      </c>
      <c r="O756" s="90">
        <f t="shared" si="303"/>
        <v>0</v>
      </c>
      <c r="P756" s="90">
        <f t="shared" si="304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6">L758+L759</f>
        <v>0</v>
      </c>
      <c r="M757" s="639">
        <f t="shared" si="306"/>
        <v>0</v>
      </c>
      <c r="N757" s="639">
        <f t="shared" si="306"/>
        <v>0</v>
      </c>
      <c r="O757" s="639">
        <f t="shared" si="303"/>
        <v>0</v>
      </c>
      <c r="P757" s="639">
        <f t="shared" si="304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3"/>
        <v>0</v>
      </c>
      <c r="P758" s="90">
        <f t="shared" si="304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3"/>
        <v>0</v>
      </c>
      <c r="P759" s="90">
        <f t="shared" si="304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7">L765+L766</f>
        <v>0</v>
      </c>
      <c r="M764" s="639">
        <f t="shared" si="307"/>
        <v>0</v>
      </c>
      <c r="N764" s="639">
        <f t="shared" si="307"/>
        <v>0</v>
      </c>
      <c r="O764" s="639">
        <f t="shared" ref="O764:O766" si="308">IF(L764&gt;0,N764*100/L764,0)</f>
        <v>0</v>
      </c>
      <c r="P764" s="639">
        <f t="shared" ref="P764:P766" si="309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8"/>
        <v>0</v>
      </c>
      <c r="P765" s="90">
        <f t="shared" si="309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8"/>
        <v>0</v>
      </c>
      <c r="P766" s="90">
        <f t="shared" si="309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10">L771+L772</f>
        <v>0</v>
      </c>
      <c r="M770" s="639">
        <f t="shared" si="310"/>
        <v>0</v>
      </c>
      <c r="N770" s="639">
        <f t="shared" si="310"/>
        <v>0</v>
      </c>
      <c r="O770" s="639">
        <f t="shared" ref="O770:O775" si="311">IF(L770&gt;0,N770*100/L770,0)</f>
        <v>0</v>
      </c>
      <c r="P770" s="639">
        <f t="shared" ref="P770:P775" si="312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3">L774+L781</f>
        <v>0</v>
      </c>
      <c r="M771" s="90">
        <f t="shared" si="313"/>
        <v>0</v>
      </c>
      <c r="N771" s="90">
        <f t="shared" si="313"/>
        <v>0</v>
      </c>
      <c r="O771" s="90">
        <f t="shared" si="311"/>
        <v>0</v>
      </c>
      <c r="P771" s="90">
        <f t="shared" si="312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3"/>
        <v>0</v>
      </c>
      <c r="M772" s="90">
        <f t="shared" si="313"/>
        <v>0</v>
      </c>
      <c r="N772" s="90">
        <f t="shared" si="313"/>
        <v>0</v>
      </c>
      <c r="O772" s="90">
        <f t="shared" si="311"/>
        <v>0</v>
      </c>
      <c r="P772" s="90">
        <f t="shared" si="312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4">L774+L775</f>
        <v>0</v>
      </c>
      <c r="M773" s="639">
        <f t="shared" si="314"/>
        <v>0</v>
      </c>
      <c r="N773" s="639">
        <f t="shared" si="314"/>
        <v>0</v>
      </c>
      <c r="O773" s="639">
        <f t="shared" si="311"/>
        <v>0</v>
      </c>
      <c r="P773" s="639">
        <f t="shared" si="312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1"/>
        <v>0</v>
      </c>
      <c r="P774" s="90">
        <f t="shared" si="312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1"/>
        <v>0</v>
      </c>
      <c r="P775" s="90">
        <f t="shared" si="312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5">L781+L782</f>
        <v>0</v>
      </c>
      <c r="M780" s="639">
        <f t="shared" si="315"/>
        <v>0</v>
      </c>
      <c r="N780" s="639">
        <f t="shared" si="315"/>
        <v>0</v>
      </c>
      <c r="O780" s="639">
        <f t="shared" ref="O780:O782" si="316">IF(L780&gt;0,N780*100/L780,0)</f>
        <v>0</v>
      </c>
      <c r="P780" s="639">
        <f t="shared" ref="P780:P782" si="317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6"/>
        <v>0</v>
      </c>
      <c r="P781" s="90">
        <f t="shared" si="317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6"/>
        <v>0</v>
      </c>
      <c r="P782" s="90">
        <f t="shared" si="317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8">I800</f>
        <v>0</v>
      </c>
      <c r="J785" s="798">
        <f t="shared" ca="1" si="318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2">L790+L797</f>
        <v>0</v>
      </c>
      <c r="M787" s="90">
        <f t="shared" si="322"/>
        <v>0</v>
      </c>
      <c r="N787" s="90">
        <f t="shared" si="322"/>
        <v>0</v>
      </c>
      <c r="O787" s="90">
        <f t="shared" si="320"/>
        <v>0</v>
      </c>
      <c r="P787" s="90">
        <f t="shared" si="321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2"/>
        <v>0</v>
      </c>
      <c r="M788" s="90">
        <f t="shared" si="322"/>
        <v>0</v>
      </c>
      <c r="N788" s="90">
        <f t="shared" si="322"/>
        <v>0</v>
      </c>
      <c r="O788" s="90">
        <f t="shared" ca="1" si="320"/>
        <v>0</v>
      </c>
      <c r="P788" s="90">
        <f t="shared" si="321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3">L790+L791</f>
        <v>0</v>
      </c>
      <c r="M789" s="495">
        <f t="shared" si="323"/>
        <v>0</v>
      </c>
      <c r="N789" s="495">
        <f t="shared" si="323"/>
        <v>0</v>
      </c>
      <c r="O789" s="495">
        <f t="shared" ca="1" si="320"/>
        <v>0</v>
      </c>
      <c r="P789" s="495">
        <f t="shared" si="321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20"/>
        <v>0</v>
      </c>
      <c r="P790" s="90">
        <f t="shared" si="321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IFERROR(__xludf.DUMMYFUNCTION("IMPORTRANGE(""https://docs.google.com/spreadsheets/d/1QqKyyYR6Q21VydFLVH3TRQUabQu_ym0Zz7PgGX0-kHA/edit?usp=sharing"",""แผน!JJ55"")"),0)</f>
        <v>0</v>
      </c>
      <c r="M791" s="90">
        <v>0</v>
      </c>
      <c r="N791" s="90">
        <f>N792+N793+N794+N795</f>
        <v>0</v>
      </c>
      <c r="O791" s="90">
        <f t="shared" ca="1" si="320"/>
        <v>0</v>
      </c>
      <c r="P791" s="90">
        <f t="shared" si="321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4">L797+L798</f>
        <v>0</v>
      </c>
      <c r="M796" s="495">
        <f t="shared" si="324"/>
        <v>0</v>
      </c>
      <c r="N796" s="495">
        <f t="shared" si="324"/>
        <v>0</v>
      </c>
      <c r="O796" s="495">
        <f t="shared" ref="O796:O798" si="325">IF(L796&gt;0,N796*100/L796,0)</f>
        <v>0</v>
      </c>
      <c r="P796" s="495">
        <f t="shared" ref="P796:P798" si="326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5"/>
        <v>0</v>
      </c>
      <c r="P797" s="90">
        <f t="shared" si="326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5"/>
        <v>0</v>
      </c>
      <c r="P798" s="90">
        <f t="shared" si="326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IFERROR(__xludf.DUMMYFUNCTION("IMPORTRANGE(""https://docs.google.com/spreadsheets/d/1QqKyyYR6Q21VydFLVH3TRQUabQu_ym0Zz7PgGX0-kHA/edit?usp=sharing"",""แผน!JN55"")"),0)</f>
        <v>0</v>
      </c>
      <c r="J800" s="180">
        <f ca="1">IFERROR(__xludf.DUMMYFUNCTION("IMPORTRANGE(""https://docs.google.com/spreadsheets/d/1MaWodYyGHDf7siQLGxnXhG4mBNTNIuy296niS2xXulU/edit?usp=sharing"",""RTK!H55"")"),0)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IFERROR(__xludf.DUMMYFUNCTION("IMPORTRANGE(""https://docs.google.com/spreadsheets/d/1MaWodYyGHDf7siQLGxnXhG4mBNTNIuy296niS2xXulU/edit?usp=sharing"",""RTK!I55"")"),0)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7">L806+L807</f>
        <v>0</v>
      </c>
      <c r="M805" s="639">
        <f t="shared" si="327"/>
        <v>0</v>
      </c>
      <c r="N805" s="639">
        <f t="shared" si="327"/>
        <v>0</v>
      </c>
      <c r="O805" s="639">
        <f t="shared" ref="O805:O810" si="328">IF(L805&gt;0,N805*100/L805,0)</f>
        <v>0</v>
      </c>
      <c r="P805" s="639">
        <f t="shared" ref="P805:P810" si="329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30">L809+L816</f>
        <v>0</v>
      </c>
      <c r="M806" s="90">
        <f t="shared" si="330"/>
        <v>0</v>
      </c>
      <c r="N806" s="90">
        <f t="shared" si="330"/>
        <v>0</v>
      </c>
      <c r="O806" s="90">
        <f t="shared" si="328"/>
        <v>0</v>
      </c>
      <c r="P806" s="90">
        <f t="shared" si="329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30"/>
        <v>0</v>
      </c>
      <c r="M807" s="90">
        <f t="shared" si="330"/>
        <v>0</v>
      </c>
      <c r="N807" s="90">
        <f t="shared" si="330"/>
        <v>0</v>
      </c>
      <c r="O807" s="90">
        <f t="shared" si="328"/>
        <v>0</v>
      </c>
      <c r="P807" s="90">
        <f t="shared" si="329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1">L809+L810</f>
        <v>0</v>
      </c>
      <c r="M808" s="639">
        <f t="shared" si="331"/>
        <v>0</v>
      </c>
      <c r="N808" s="639">
        <f t="shared" si="331"/>
        <v>0</v>
      </c>
      <c r="O808" s="639">
        <f t="shared" si="328"/>
        <v>0</v>
      </c>
      <c r="P808" s="639">
        <f t="shared" si="329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8"/>
        <v>0</v>
      </c>
      <c r="P809" s="90">
        <f t="shared" si="329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8"/>
        <v>0</v>
      </c>
      <c r="P810" s="90">
        <f t="shared" si="329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2">L816+L817</f>
        <v>0</v>
      </c>
      <c r="M815" s="639">
        <f t="shared" si="332"/>
        <v>0</v>
      </c>
      <c r="N815" s="639">
        <f t="shared" si="332"/>
        <v>0</v>
      </c>
      <c r="O815" s="639">
        <f t="shared" ref="O815:O817" si="333">IF(L815&gt;0,N815*100/L815,0)</f>
        <v>0</v>
      </c>
      <c r="P815" s="639">
        <f t="shared" ref="P815:P817" si="334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3"/>
        <v>0</v>
      </c>
      <c r="P816" s="90">
        <f t="shared" si="334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3"/>
        <v>0</v>
      </c>
      <c r="P817" s="90">
        <f t="shared" si="334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264">
        <f ca="1">IFERROR(__xludf.DUMMYFUNCTION("IMPORTRANGE(""https://docs.google.com/spreadsheets/d/19vJNZY_5yjcGF2XGBMNZRCAIB0Kwfpjp8YEOfu-bneM/edit?usp=sharing"",""งานกองทุน!F55"")"),0)</f>
        <v>0</v>
      </c>
      <c r="K821" s="495">
        <f t="shared" ref="K821:K828" ca="1" si="335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IFERROR(__xludf.DUMMYFUNCTION("IMPORTRANGE(""https://docs.google.com/spreadsheets/d/19vJNZY_5yjcGF2XGBMNZRCAIB0Kwfpjp8YEOfu-bneM/edit?usp=sharing"",""งานกองทุน!C55"")"),213)</f>
        <v>213</v>
      </c>
      <c r="J822" s="264">
        <f ca="1">IFERROR(__xludf.DUMMYFUNCTION("IMPORTRANGE(""https://docs.google.com/spreadsheets/d/19vJNZY_5yjcGF2XGBMNZRCAIB0Kwfpjp8YEOfu-bneM/edit?usp=sharing"",""งานกองทุน!E55"")"),0)</f>
        <v>0</v>
      </c>
      <c r="K822" s="495">
        <f t="shared" ca="1" si="335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264">
        <f ca="1">IFERROR(__xludf.DUMMYFUNCTION("IMPORTRANGE(""https://docs.google.com/spreadsheets/d/19vJNZY_5yjcGF2XGBMNZRCAIB0Kwfpjp8YEOfu-bneM/edit?usp=sharing"",""งานกองทุน!K55"")"),29939.18)</f>
        <v>29939.18</v>
      </c>
      <c r="K823" s="495">
        <f t="shared" ca="1" si="335"/>
        <v>0.30209954876765893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IFERROR(__xludf.DUMMYFUNCTION("IMPORTRANGE(""https://docs.google.com/spreadsheets/d/19vJNZY_5yjcGF2XGBMNZRCAIB0Kwfpjp8YEOfu-bneM/edit?usp=sharing"",""งานกองทุน!H55"")"),243)</f>
        <v>243</v>
      </c>
      <c r="J824" s="264">
        <f ca="1">IFERROR(__xludf.DUMMYFUNCTION("IMPORTRANGE(""https://docs.google.com/spreadsheets/d/19vJNZY_5yjcGF2XGBMNZRCAIB0Kwfpjp8YEOfu-bneM/edit?usp=sharing"",""งานกองทุน!J55"")"),6)</f>
        <v>6</v>
      </c>
      <c r="K824" s="495">
        <f t="shared" ca="1" si="335"/>
        <v>2.4691358024691357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IFERROR(__xludf.DUMMYFUNCTION("IMPORTRANGE(""https://docs.google.com/spreadsheets/d/19vJNZY_5yjcGF2XGBMNZRCAIB0Kwfpjp8YEOfu-bneM/edit?usp=sharing"",""งานกองทุน!N55"")"),5713540.26)</f>
        <v>5713540.2599999998</v>
      </c>
      <c r="J825" s="264">
        <f ca="1">IFERROR(__xludf.DUMMYFUNCTION("IMPORTRANGE(""https://docs.google.com/spreadsheets/d/19vJNZY_5yjcGF2XGBMNZRCAIB0Kwfpjp8YEOfu-bneM/edit?usp=sharing"",""งานกองทุน!P55"")"),109243.03)</f>
        <v>109243.03</v>
      </c>
      <c r="K825" s="495">
        <f t="shared" ca="1" si="335"/>
        <v>1.9120024543241778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IFERROR(__xludf.DUMMYFUNCTION("IMPORTRANGE(""https://docs.google.com/spreadsheets/d/19vJNZY_5yjcGF2XGBMNZRCAIB0Kwfpjp8YEOfu-bneM/edit?usp=sharing"",""งานกองทุน!M55"")"),992)</f>
        <v>992</v>
      </c>
      <c r="J826" s="264">
        <f ca="1">IFERROR(__xludf.DUMMYFUNCTION("IMPORTRANGE(""https://docs.google.com/spreadsheets/d/19vJNZY_5yjcGF2XGBMNZRCAIB0Kwfpjp8YEOfu-bneM/edit?usp=sharing"",""งานกองทุน!O55"")"),33)</f>
        <v>33</v>
      </c>
      <c r="K826" s="495">
        <f t="shared" ca="1" si="335"/>
        <v>3.3266129032258065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IFERROR(__xludf.DUMMYFUNCTION("IMPORTRANGE(""https://docs.google.com/spreadsheets/d/19vJNZY_5yjcGF2XGBMNZRCAIB0Kwfpjp8YEOfu-bneM/edit?usp=sharing"",""งานกองทุน!S55"")"),3000000)</f>
        <v>3000000</v>
      </c>
      <c r="J827" s="264">
        <f ca="1">IFERROR(__xludf.DUMMYFUNCTION("IMPORTRANGE(""https://docs.google.com/spreadsheets/d/19vJNZY_5yjcGF2XGBMNZRCAIB0Kwfpjp8YEOfu-bneM/edit?usp=sharing"",""งานกองทุน!U55"")"),0)</f>
        <v>0</v>
      </c>
      <c r="K827" s="495">
        <f t="shared" ca="1" si="335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IFERROR(__xludf.DUMMYFUNCTION("IMPORTRANGE(""https://docs.google.com/spreadsheets/d/19vJNZY_5yjcGF2XGBMNZRCAIB0Kwfpjp8YEOfu-bneM/edit?usp=sharing"",""งานกองทุน!R55"")"),119)</f>
        <v>119</v>
      </c>
      <c r="J828" s="498">
        <f ca="1">IFERROR(__xludf.DUMMYFUNCTION("IMPORTRANGE(""https://docs.google.com/spreadsheets/d/19vJNZY_5yjcGF2XGBMNZRCAIB0Kwfpjp8YEOfu-bneM/edit?usp=sharing"",""งานกองทุน!T55"")"),40)</f>
        <v>40</v>
      </c>
      <c r="K828" s="499">
        <f t="shared" ca="1" si="335"/>
        <v>33.613445378151262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BC14-6C10-41DF-A667-26A96E2B3176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337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5294337</v>
      </c>
      <c r="M8" s="21">
        <f t="shared" ca="1" si="0"/>
        <v>2430469</v>
      </c>
      <c r="N8" s="21">
        <f t="shared" ca="1" si="0"/>
        <v>763186.15</v>
      </c>
      <c r="O8" s="21">
        <f t="shared" ref="O8:O16" ca="1" si="1">IF(L8&gt;0,N8*100/L8,0)</f>
        <v>14.415141121541753</v>
      </c>
      <c r="P8" s="21">
        <f t="shared" ref="P8:P16" ca="1" si="2">IF(M8&gt;0,N8*100/M8,0)</f>
        <v>31.400776969383276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5294337</v>
      </c>
      <c r="M10" s="29">
        <f t="shared" ca="1" si="3"/>
        <v>2430469</v>
      </c>
      <c r="N10" s="29">
        <f t="shared" ca="1" si="3"/>
        <v>763186.15</v>
      </c>
      <c r="O10" s="29">
        <f t="shared" ca="1" si="1"/>
        <v>14.415141121541753</v>
      </c>
      <c r="P10" s="29">
        <f t="shared" ca="1" si="2"/>
        <v>31.400776969383276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4353437</v>
      </c>
      <c r="M11" s="495">
        <f t="shared" ca="1" si="4"/>
        <v>1489569</v>
      </c>
      <c r="N11" s="495">
        <f t="shared" ca="1" si="4"/>
        <v>672286.15</v>
      </c>
      <c r="O11" s="495">
        <f t="shared" ca="1" si="1"/>
        <v>15.442652552454533</v>
      </c>
      <c r="P11" s="495">
        <f t="shared" ca="1" si="2"/>
        <v>45.132931069322737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4353437</v>
      </c>
      <c r="M13" s="90">
        <f t="shared" ca="1" si="5"/>
        <v>1489569</v>
      </c>
      <c r="N13" s="90">
        <f t="shared" ca="1" si="5"/>
        <v>672286.15</v>
      </c>
      <c r="O13" s="90">
        <f t="shared" ca="1" si="1"/>
        <v>15.442652552454533</v>
      </c>
      <c r="P13" s="90">
        <f t="shared" ca="1" si="2"/>
        <v>45.132931069322737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940900</v>
      </c>
      <c r="M14" s="495">
        <f t="shared" ca="1" si="6"/>
        <v>940900</v>
      </c>
      <c r="N14" s="495">
        <f t="shared" ca="1" si="6"/>
        <v>90900</v>
      </c>
      <c r="O14" s="495">
        <f t="shared" ca="1" si="1"/>
        <v>9.6609629078541825</v>
      </c>
      <c r="P14" s="495">
        <f t="shared" ca="1" si="2"/>
        <v>9.6609629078541825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940900</v>
      </c>
      <c r="M16" s="51">
        <f t="shared" ca="1" si="7"/>
        <v>940900</v>
      </c>
      <c r="N16" s="51">
        <f t="shared" ca="1" si="7"/>
        <v>90900</v>
      </c>
      <c r="O16" s="51">
        <f t="shared" ca="1" si="1"/>
        <v>9.6609629078541825</v>
      </c>
      <c r="P16" s="51">
        <f t="shared" ca="1" si="2"/>
        <v>9.6609629078541825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3931919</v>
      </c>
      <c r="M18" s="21">
        <f t="shared" ca="1" si="8"/>
        <v>2430469</v>
      </c>
      <c r="N18" s="21">
        <f t="shared" ca="1" si="8"/>
        <v>763186.15</v>
      </c>
      <c r="O18" s="21">
        <f t="shared" ref="O18:O26" ca="1" si="9">IF(L18&gt;0,N18*100/L18,0)</f>
        <v>19.410017093434529</v>
      </c>
      <c r="P18" s="21">
        <f t="shared" ref="P18:P26" ca="1" si="10">IF(M18&gt;0,N18*100/M18,0)</f>
        <v>31.400776969383276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3931919</v>
      </c>
      <c r="M20" s="29">
        <f t="shared" ca="1" si="11"/>
        <v>2430469</v>
      </c>
      <c r="N20" s="29">
        <f t="shared" ca="1" si="11"/>
        <v>763186.15</v>
      </c>
      <c r="O20" s="29">
        <f t="shared" ca="1" si="9"/>
        <v>19.410017093434529</v>
      </c>
      <c r="P20" s="29">
        <f t="shared" ca="1" si="10"/>
        <v>31.400776969383276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2991019</v>
      </c>
      <c r="M21" s="495">
        <f t="shared" ca="1" si="12"/>
        <v>1489569</v>
      </c>
      <c r="N21" s="495">
        <f t="shared" ca="1" si="12"/>
        <v>672286.15</v>
      </c>
      <c r="O21" s="495">
        <f t="shared" ca="1" si="9"/>
        <v>22.476826459477522</v>
      </c>
      <c r="P21" s="495">
        <f t="shared" ca="1" si="10"/>
        <v>45.132931069322737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2991019</v>
      </c>
      <c r="M23" s="90">
        <f t="shared" ca="1" si="13"/>
        <v>1489569</v>
      </c>
      <c r="N23" s="90">
        <f t="shared" ca="1" si="13"/>
        <v>672286.15</v>
      </c>
      <c r="O23" s="90">
        <f t="shared" ca="1" si="9"/>
        <v>22.476826459477522</v>
      </c>
      <c r="P23" s="90">
        <f t="shared" ca="1" si="10"/>
        <v>45.132931069322737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940900</v>
      </c>
      <c r="M24" s="495">
        <f t="shared" ca="1" si="14"/>
        <v>940900</v>
      </c>
      <c r="N24" s="495">
        <f t="shared" ca="1" si="14"/>
        <v>90900</v>
      </c>
      <c r="O24" s="495">
        <f t="shared" ca="1" si="9"/>
        <v>9.6609629078541825</v>
      </c>
      <c r="P24" s="495">
        <f t="shared" ca="1" si="10"/>
        <v>9.6609629078541825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940900</v>
      </c>
      <c r="M26" s="51">
        <f t="shared" ca="1" si="15"/>
        <v>940900</v>
      </c>
      <c r="N26" s="51">
        <f t="shared" ca="1" si="15"/>
        <v>90900</v>
      </c>
      <c r="O26" s="51">
        <f t="shared" ca="1" si="9"/>
        <v>9.6609629078541825</v>
      </c>
      <c r="P26" s="51">
        <f t="shared" ca="1" si="10"/>
        <v>9.6609629078541825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1362418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1362418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1362418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1362418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3931919</v>
      </c>
      <c r="M37" s="57">
        <f t="shared" ca="1" si="24"/>
        <v>2430469</v>
      </c>
      <c r="N37" s="57">
        <f t="shared" ca="1" si="24"/>
        <v>763186.15</v>
      </c>
      <c r="O37" s="57">
        <f t="shared" ca="1" si="17"/>
        <v>19.410017093434529</v>
      </c>
      <c r="P37" s="57">
        <f t="shared" ca="1" si="18"/>
        <v>31.400776969383276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562639</v>
      </c>
      <c r="M41" s="82">
        <f t="shared" ca="1" si="25"/>
        <v>282639</v>
      </c>
      <c r="N41" s="82">
        <f t="shared" ca="1" si="25"/>
        <v>105840</v>
      </c>
      <c r="O41" s="82">
        <f t="shared" ref="O41:O49" ca="1" si="26">IF(L41&gt;0,N41*100/L41,0)</f>
        <v>18.811351506027844</v>
      </c>
      <c r="P41" s="82">
        <f t="shared" ref="P41:P49" ca="1" si="27">IF(M41&gt;0,N41*100/M41,0)</f>
        <v>37.447061445872649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562639</v>
      </c>
      <c r="M43" s="89">
        <f t="shared" ca="1" si="28"/>
        <v>282639</v>
      </c>
      <c r="N43" s="89">
        <f t="shared" ca="1" si="28"/>
        <v>105840</v>
      </c>
      <c r="O43" s="89">
        <f t="shared" ca="1" si="26"/>
        <v>18.811351506027844</v>
      </c>
      <c r="P43" s="89">
        <f t="shared" ca="1" si="27"/>
        <v>37.447061445872649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562639</v>
      </c>
      <c r="M44" s="495">
        <f t="shared" ca="1" si="29"/>
        <v>282639</v>
      </c>
      <c r="N44" s="495">
        <f t="shared" ca="1" si="29"/>
        <v>105840</v>
      </c>
      <c r="O44" s="495">
        <f t="shared" ca="1" si="26"/>
        <v>18.811351506027844</v>
      </c>
      <c r="P44" s="495">
        <f t="shared" ca="1" si="27"/>
        <v>37.447061445872649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IFERROR(__xludf.DUMMYFUNCTION("IMPORTRANGE(""https://docs.google.com/spreadsheets/d/1MeEWN-I1oV_STSDYn1IFDPWt_1FKiwhDph83XaGc0o0/edit?usp=sharing"",""งบพรบ!M56"")"),562639)</f>
        <v>562639</v>
      </c>
      <c r="M46" s="90">
        <f ca="1">IFERROR(__xludf.DUMMYFUNCTION("IMPORTRANGE(""https://docs.google.com/spreadsheets/d/1MeEWN-I1oV_STSDYn1IFDPWt_1FKiwhDph83XaGc0o0/edit?usp=sharing"",""งบพรบ!R56"")"),282639)</f>
        <v>282639</v>
      </c>
      <c r="N46" s="90">
        <f ca="1">IFERROR(__xludf.DUMMYFUNCTION("IMPORTRANGE(""https://docs.google.com/spreadsheets/d/1MeEWN-I1oV_STSDYn1IFDPWt_1FKiwhDph83XaGc0o0/edit?usp=sharing"",""งบพรบ!T56"")"),105840)</f>
        <v>105840</v>
      </c>
      <c r="O46" s="90">
        <f t="shared" ca="1" si="26"/>
        <v>18.811351506027844</v>
      </c>
      <c r="P46" s="90">
        <f t="shared" ca="1" si="27"/>
        <v>37.447061445872649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IFERROR(__xludf.DUMMYFUNCTION("IMPORTRANGE(""https://docs.google.com/spreadsheets/d/1MeEWN-I1oV_STSDYn1IFDPWt_1FKiwhDph83XaGc0o0/edit?usp=sharing"",""งบพรบ!P56"")"),0)</f>
        <v>0</v>
      </c>
      <c r="M49" s="51">
        <f ca="1">IFERROR(__xludf.DUMMYFUNCTION("IMPORTRANGE(""https://docs.google.com/spreadsheets/d/1MeEWN-I1oV_STSDYn1IFDPWt_1FKiwhDph83XaGc0o0/edit?usp=sharing"",""งบพรบ!S56"")"),0)</f>
        <v>0</v>
      </c>
      <c r="N49" s="51">
        <f ca="1">IFERROR(__xludf.DUMMYFUNCTION("IMPORTRANGE(""https://docs.google.com/spreadsheets/d/1MeEWN-I1oV_STSDYn1IFDPWt_1FKiwhDph83XaGc0o0/edit?usp=sharing"",""งบพรบ!U56"")"),0)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752500</v>
      </c>
      <c r="M53" s="112">
        <f t="shared" ca="1" si="31"/>
        <v>399200</v>
      </c>
      <c r="N53" s="112">
        <f t="shared" ca="1" si="31"/>
        <v>288099.75</v>
      </c>
      <c r="O53" s="112">
        <f t="shared" ref="O53:O61" ca="1" si="32">IF(L53&gt;0,N53*100/L53,0)</f>
        <v>38.285681063122922</v>
      </c>
      <c r="P53" s="112">
        <f t="shared" ref="P53:P61" ca="1" si="33">IF(M53&gt;0,N53*100/M53,0)</f>
        <v>72.169276052104209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752500</v>
      </c>
      <c r="M55" s="119">
        <f t="shared" ca="1" si="34"/>
        <v>399200</v>
      </c>
      <c r="N55" s="119">
        <f t="shared" ca="1" si="34"/>
        <v>288099.75</v>
      </c>
      <c r="O55" s="119">
        <f t="shared" ca="1" si="32"/>
        <v>38.285681063122922</v>
      </c>
      <c r="P55" s="119">
        <f t="shared" ca="1" si="33"/>
        <v>72.169276052104209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706600</v>
      </c>
      <c r="M56" s="495">
        <f t="shared" ca="1" si="35"/>
        <v>353300</v>
      </c>
      <c r="N56" s="495">
        <f t="shared" ca="1" si="35"/>
        <v>242199.75</v>
      </c>
      <c r="O56" s="495">
        <f t="shared" ca="1" si="32"/>
        <v>34.276783187093123</v>
      </c>
      <c r="P56" s="495">
        <f t="shared" ca="1" si="33"/>
        <v>68.553566374186246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IFERROR(__xludf.DUMMYFUNCTION("IMPORTRANGE(""https://docs.google.com/spreadsheets/d/1MeEWN-I1oV_STSDYn1IFDPWt_1FKiwhDph83XaGc0o0/edit?usp=sharing"",""งบพรบ!W56"")"),706600)</f>
        <v>706600</v>
      </c>
      <c r="M58" s="90">
        <f ca="1">IFERROR(__xludf.DUMMYFUNCTION("IMPORTRANGE(""https://docs.google.com/spreadsheets/d/1MeEWN-I1oV_STSDYn1IFDPWt_1FKiwhDph83XaGc0o0/edit?usp=sharing"",""งบพรบ!AB56"")"),353300)</f>
        <v>353300</v>
      </c>
      <c r="N58" s="90">
        <f ca="1">IFERROR(__xludf.DUMMYFUNCTION("IMPORTRANGE(""https://docs.google.com/spreadsheets/d/1MeEWN-I1oV_STSDYn1IFDPWt_1FKiwhDph83XaGc0o0/edit?usp=sharing"",""งบพรบ!AD56"")"),242199.75)</f>
        <v>242199.75</v>
      </c>
      <c r="O58" s="90">
        <f t="shared" ca="1" si="32"/>
        <v>34.276783187093123</v>
      </c>
      <c r="P58" s="90">
        <f t="shared" ca="1" si="33"/>
        <v>68.553566374186246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45900</v>
      </c>
      <c r="M59" s="495">
        <f t="shared" ca="1" si="36"/>
        <v>45900</v>
      </c>
      <c r="N59" s="495">
        <f t="shared" ca="1" si="36"/>
        <v>45900</v>
      </c>
      <c r="O59" s="495">
        <f t="shared" ca="1" si="32"/>
        <v>100</v>
      </c>
      <c r="P59" s="495">
        <f t="shared" ca="1" si="33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IFERROR(__xludf.DUMMYFUNCTION("IMPORTRANGE(""https://docs.google.com/spreadsheets/d/1MeEWN-I1oV_STSDYn1IFDPWt_1FKiwhDph83XaGc0o0/edit?usp=sharing"",""งบพรบ!Z56"")"),45900)</f>
        <v>45900</v>
      </c>
      <c r="M61" s="51">
        <f ca="1">IFERROR(__xludf.DUMMYFUNCTION("IMPORTRANGE(""https://docs.google.com/spreadsheets/d/1MeEWN-I1oV_STSDYn1IFDPWt_1FKiwhDph83XaGc0o0/edit?usp=sharing"",""งบพรบ!AC56"")"),45900)</f>
        <v>45900</v>
      </c>
      <c r="N61" s="51">
        <f ca="1">IFERROR(__xludf.DUMMYFUNCTION("IMPORTRANGE(""https://docs.google.com/spreadsheets/d/1MeEWN-I1oV_STSDYn1IFDPWt_1FKiwhDph83XaGc0o0/edit?usp=sharing"",""งบพรบ!AE56"")"),45900)</f>
        <v>45900</v>
      </c>
      <c r="O61" s="51">
        <f t="shared" ca="1" si="32"/>
        <v>100</v>
      </c>
      <c r="P61" s="51">
        <f t="shared" ca="1" si="33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IFERROR(__xludf.DUMMYFUNCTION("IMPORTRANGE(""https://docs.google.com/spreadsheets/d/1MeEWN-I1oV_STSDYn1IFDPWt_1FKiwhDph83XaGc0o0/edit?usp=sharing"",""งบพรบ!AG56"")"),0)</f>
        <v>0</v>
      </c>
      <c r="M71" s="90">
        <f ca="1">IFERROR(__xludf.DUMMYFUNCTION("IMPORTRANGE(""https://docs.google.com/spreadsheets/d/1MeEWN-I1oV_STSDYn1IFDPWt_1FKiwhDph83XaGc0o0/edit?usp=sharing"",""งบพรบ!AL56"")"),0)</f>
        <v>0</v>
      </c>
      <c r="N71" s="90">
        <f ca="1">IFERROR(__xludf.DUMMYFUNCTION("IMPORTRANGE(""https://docs.google.com/spreadsheets/d/1MeEWN-I1oV_STSDYn1IFDPWt_1FKiwhDph83XaGc0o0/edit?usp=sharing"",""งบพรบ!AN56"")"),0)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IFERROR(__xludf.DUMMYFUNCTION("IMPORTRANGE(""https://docs.google.com/spreadsheets/d/1MeEWN-I1oV_STSDYn1IFDPWt_1FKiwhDph83XaGc0o0/edit?usp=sharing"",""งบพรบ!AJ56"")"),0)</f>
        <v>0</v>
      </c>
      <c r="M74" s="90">
        <f ca="1">IFERROR(__xludf.DUMMYFUNCTION("IMPORTRANGE(""https://docs.google.com/spreadsheets/d/1MeEWN-I1oV_STSDYn1IFDPWt_1FKiwhDph83XaGc0o0/edit?usp=sharing"",""งบพรบ!AM56"")"),0)</f>
        <v>0</v>
      </c>
      <c r="N74" s="90">
        <f ca="1">IFERROR(__xludf.DUMMYFUNCTION("IMPORTRANGE(""https://docs.google.com/spreadsheets/d/1MeEWN-I1oV_STSDYn1IFDPWt_1FKiwhDph83XaGc0o0/edit?usp=sharing"",""งบพรบ!AO56"")"),0)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IFERROR(__xludf.DUMMYFUNCTION("IMPORTRANGE(""https://docs.google.com/spreadsheets/d/1QqKyyYR6Q21VydFLVH3TRQUabQu_ym0Zz7PgGX0-kHA/edit?usp=sharing"",""แผน!H56"")"),0)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IFERROR(__xludf.DUMMYFUNCTION("IMPORTRANGE(""https://docs.google.com/spreadsheets/d/1QqKyyYR6Q21VydFLVH3TRQUabQu_ym0Zz7PgGX0-kHA/edit?usp=sharing"",""แผน!I56"")"),0)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IFERROR(__xludf.DUMMYFUNCTION("IMPORTRANGE(""https://docs.google.com/spreadsheets/d/1QqKyyYR6Q21VydFLVH3TRQUabQu_ym0Zz7PgGX0-kHA/edit?usp=sharing"",""แผน!F56"")"),0)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IFERROR(__xludf.DUMMYFUNCTION("IMPORTRANGE(""https://docs.google.com/spreadsheets/d/1QqKyyYR6Q21VydFLVH3TRQUabQu_ym0Zz7PgGX0-kHA/edit?usp=sharing"",""แผน!G56"")"),0)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IFERROR(__xludf.DUMMYFUNCTION("IMPORTRANGE(""https://docs.google.com/spreadsheets/d/1QqKyyYR6Q21VydFLVH3TRQUabQu_ym0Zz7PgGX0-kHA/edit?usp=sharing"",""แผน!D56"")"),0)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IFERROR(__xludf.DUMMYFUNCTION("IMPORTRANGE(""https://docs.google.com/spreadsheets/d/1QqKyyYR6Q21VydFLVH3TRQUabQu_ym0Zz7PgGX0-kHA/edit?usp=sharing"",""แผน!E56"")"),0)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IFERROR(__xludf.DUMMYFUNCTION("IMPORTRANGE(""https://docs.google.com/spreadsheets/d/1QqKyyYR6Q21VydFLVH3TRQUabQu_ym0Zz7PgGX0-kHA/edit?usp=sharing"",""แผน!J56"")"),0)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31200</v>
      </c>
      <c r="M88" s="151">
        <f t="shared" ca="1" si="49"/>
        <v>27750</v>
      </c>
      <c r="N88" s="151">
        <f t="shared" ca="1" si="49"/>
        <v>0</v>
      </c>
      <c r="O88" s="151">
        <f t="shared" ref="O88:O96" ca="1" si="50">IF(L88&gt;0,N88*100/L88,0)</f>
        <v>0</v>
      </c>
      <c r="P88" s="151">
        <f t="shared" ref="P88:P96" ca="1" si="51">IF(M88&gt;0,N88*100/M88,0)</f>
        <v>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31200</v>
      </c>
      <c r="M90" s="90">
        <f t="shared" ca="1" si="52"/>
        <v>27750</v>
      </c>
      <c r="N90" s="90">
        <f t="shared" ca="1" si="52"/>
        <v>0</v>
      </c>
      <c r="O90" s="90">
        <f t="shared" ca="1" si="50"/>
        <v>0</v>
      </c>
      <c r="P90" s="90">
        <f t="shared" ca="1" si="51"/>
        <v>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31200</v>
      </c>
      <c r="M91" s="495">
        <f t="shared" ca="1" si="53"/>
        <v>27750</v>
      </c>
      <c r="N91" s="495">
        <f t="shared" ca="1" si="53"/>
        <v>0</v>
      </c>
      <c r="O91" s="495">
        <f t="shared" ca="1" si="50"/>
        <v>0</v>
      </c>
      <c r="P91" s="495">
        <f t="shared" ca="1" si="51"/>
        <v>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IFERROR(__xludf.DUMMYFUNCTION("IMPORTRANGE(""https://docs.google.com/spreadsheets/d/1MeEWN-I1oV_STSDYn1IFDPWt_1FKiwhDph83XaGc0o0/edit?usp=sharing"",""งบพรบ!AQ56"")"),31200)</f>
        <v>31200</v>
      </c>
      <c r="M93" s="90">
        <f ca="1">IFERROR(__xludf.DUMMYFUNCTION("IMPORTRANGE(""https://docs.google.com/spreadsheets/d/1MeEWN-I1oV_STSDYn1IFDPWt_1FKiwhDph83XaGc0o0/edit?usp=sharing"",""งบพรบ!AV56"")"),27750)</f>
        <v>27750</v>
      </c>
      <c r="N93" s="90">
        <f ca="1">IFERROR(__xludf.DUMMYFUNCTION("IMPORTRANGE(""https://docs.google.com/spreadsheets/d/1MeEWN-I1oV_STSDYn1IFDPWt_1FKiwhDph83XaGc0o0/edit?usp=sharing"",""งบพรบ!AX56"")"),0)</f>
        <v>0</v>
      </c>
      <c r="O93" s="90">
        <f t="shared" ca="1" si="50"/>
        <v>0</v>
      </c>
      <c r="P93" s="90">
        <f t="shared" ca="1" si="51"/>
        <v>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IFERROR(__xludf.DUMMYFUNCTION("IMPORTRANGE(""https://docs.google.com/spreadsheets/d/1MeEWN-I1oV_STSDYn1IFDPWt_1FKiwhDph83XaGc0o0/edit?usp=sharing"",""งบพรบ!AT56"")"),0)</f>
        <v>0</v>
      </c>
      <c r="M96" s="90">
        <f ca="1">IFERROR(__xludf.DUMMYFUNCTION("IMPORTRANGE(""https://docs.google.com/spreadsheets/d/1MeEWN-I1oV_STSDYn1IFDPWt_1FKiwhDph83XaGc0o0/edit?usp=sharing"",""งบพรบ!AW56"")"),0)</f>
        <v>0</v>
      </c>
      <c r="N96" s="90">
        <f ca="1">IFERROR(__xludf.DUMMYFUNCTION("IMPORTRANGE(""https://docs.google.com/spreadsheets/d/1MeEWN-I1oV_STSDYn1IFDPWt_1FKiwhDph83XaGc0o0/edit?usp=sharing"",""งบพรบ!AY56"")"),0)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IFERROR(__xludf.DUMMYFUNCTION("IMPORTRANGE(""https://docs.google.com/spreadsheets/d/1QqKyyYR6Q21VydFLVH3TRQUabQu_ym0Zz7PgGX0-kHA/edit?usp=sharing"",""แผน!K56"")"),0)</f>
        <v>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IFERROR(__xludf.DUMMYFUNCTION("IMPORTRANGE(""https://docs.google.com/spreadsheets/d/1QqKyyYR6Q21VydFLVH3TRQUabQu_ym0Zz7PgGX0-kHA/edit?usp=sharing"",""แผน!L56"")"),0)</f>
        <v>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IFERROR(__xludf.DUMMYFUNCTION("IMPORTRANGE(""https://docs.google.com/spreadsheets/d/1QqKyyYR6Q21VydFLVH3TRQUabQu_ym0Zz7PgGX0-kHA/edit?usp=sharing"",""แผน!M56"")"),1)</f>
        <v>1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IFERROR(__xludf.DUMMYFUNCTION("IMPORTRANGE(""https://docs.google.com/spreadsheets/d/1QqKyyYR6Q21VydFLVH3TRQUabQu_ym0Zz7PgGX0-kHA/edit?usp=sharing"",""แผน!N56"")"),0)</f>
        <v>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IFERROR(__xludf.DUMMYFUNCTION("IMPORTRANGE(""https://docs.google.com/spreadsheets/d/1QqKyyYR6Q21VydFLVH3TRQUabQu_ym0Zz7PgGX0-kHA/edit?usp=sharing"",""แผน!O56"")"),0)</f>
        <v>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IFERROR(__xludf.DUMMYFUNCTION("IMPORTRANGE(""https://docs.google.com/spreadsheets/d/1QqKyyYR6Q21VydFLVH3TRQUabQu_ym0Zz7PgGX0-kHA/edit?usp=sharing"",""แผน!O56"")"),0)</f>
        <v>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IFERROR(__xludf.DUMMYFUNCTION("IMPORTRANGE(""https://docs.google.com/spreadsheets/d/1QqKyyYR6Q21VydFLVH3TRQUabQu_ym0Zz7PgGX0-kHA/edit?usp=sharing"",""แผน!P56"")"),0)</f>
        <v>0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IFERROR(__xludf.DUMMYFUNCTION("IMPORTRANGE(""https://docs.google.com/spreadsheets/d/1QqKyyYR6Q21VydFLVH3TRQUabQu_ym0Zz7PgGX0-kHA/edit?usp=sharing"",""แผน!P56"")"),0)</f>
        <v>0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IFERROR(__xludf.DUMMYFUNCTION("IMPORTRANGE(""https://docs.google.com/spreadsheets/d/1QqKyyYR6Q21VydFLVH3TRQUabQu_ym0Zz7PgGX0-kHA/edit?usp=sharing"",""แผน!Q56"")"),1)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IFERROR(__xludf.DUMMYFUNCTION("IMPORTRANGE(""https://docs.google.com/spreadsheets/d/1QqKyyYR6Q21VydFLVH3TRQUabQu_ym0Zz7PgGX0-kHA/edit?usp=sharing"",""แผน!Q56"")"),1)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IFERROR(__xludf.DUMMYFUNCTION("IMPORTRANGE(""https://docs.google.com/spreadsheets/d/1QqKyyYR6Q21VydFLVH3TRQUabQu_ym0Zz7PgGX0-kHA/edit?usp=sharing"",""แผน!R56"")"),0)</f>
        <v>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1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IFERROR(__xludf.DUMMYFUNCTION("IMPORTRANGE(""https://docs.google.com/spreadsheets/d/1QqKyyYR6Q21VydFLVH3TRQUabQu_ym0Zz7PgGX0-kHA/edit?usp=sharing"",""แผน!R56"")"),0)</f>
        <v>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IFERROR(__xludf.DUMMYFUNCTION("IMPORTRANGE(""https://docs.google.com/spreadsheets/d/1QqKyyYR6Q21VydFLVH3TRQUabQu_ym0Zz7PgGX0-kHA/edit?usp=sharing"",""แผน!R56"")"),0)</f>
        <v>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IFERROR(__xludf.DUMMYFUNCTION("IMPORTRANGE(""https://docs.google.com/spreadsheets/d/1QqKyyYR6Q21VydFLVH3TRQUabQu_ym0Zz7PgGX0-kHA/edit?usp=sharing"",""แผน!S56"")"),0)</f>
        <v>0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IFERROR(__xludf.DUMMYFUNCTION("IMPORTRANGE(""https://docs.google.com/spreadsheets/d/1QqKyyYR6Q21VydFLVH3TRQUabQu_ym0Zz7PgGX0-kHA/edit?usp=sharing"",""แผน!T56"")"),1)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IFERROR(__xludf.DUMMYFUNCTION("IMPORTRANGE(""https://docs.google.com/spreadsheets/d/1MeEWN-I1oV_STSDYn1IFDPWt_1FKiwhDph83XaGc0o0/edit?usp=sharing"",""งบพรบ!BA56"")"),0)</f>
        <v>0</v>
      </c>
      <c r="M124" s="90">
        <f ca="1">IFERROR(__xludf.DUMMYFUNCTION("IMPORTRANGE(""https://docs.google.com/spreadsheets/d/1MeEWN-I1oV_STSDYn1IFDPWt_1FKiwhDph83XaGc0o0/edit?usp=sharing"",""งบพรบ!BF56"")"),0)</f>
        <v>0</v>
      </c>
      <c r="N124" s="90">
        <f ca="1">IFERROR(__xludf.DUMMYFUNCTION("IMPORTRANGE(""https://docs.google.com/spreadsheets/d/1MeEWN-I1oV_STSDYn1IFDPWt_1FKiwhDph83XaGc0o0/edit?usp=sharing"",""งบพรบ!BH56"")"),0)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IFERROR(__xludf.DUMMYFUNCTION("IMPORTRANGE(""https://docs.google.com/spreadsheets/d/1MeEWN-I1oV_STSDYn1IFDPWt_1FKiwhDph83XaGc0o0/edit?usp=sharing"",""งบพรบ!BD56"")"),0)</f>
        <v>0</v>
      </c>
      <c r="M127" s="90">
        <f ca="1">IFERROR(__xludf.DUMMYFUNCTION("IMPORTRANGE(""https://docs.google.com/spreadsheets/d/1MeEWN-I1oV_STSDYn1IFDPWt_1FKiwhDph83XaGc0o0/edit?usp=sharing"",""งบพรบ!BG56"")"),0)</f>
        <v>0</v>
      </c>
      <c r="N127" s="90">
        <f ca="1">IFERROR(__xludf.DUMMYFUNCTION("IMPORTRANGE(""https://docs.google.com/spreadsheets/d/1MeEWN-I1oV_STSDYn1IFDPWt_1FKiwhDph83XaGc0o0/edit?usp=sharing"",""งบพรบ!BI56"")"),0)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IFERROR(__xludf.DUMMYFUNCTION("IMPORTRANGE(""https://docs.google.com/spreadsheets/d/1MeEWN-I1oV_STSDYn1IFDPWt_1FKiwhDph83XaGc0o0/edit?usp=sharing"",""งบพรบ!BK56"")"),0)</f>
        <v>0</v>
      </c>
      <c r="M137" s="90">
        <f ca="1">IFERROR(__xludf.DUMMYFUNCTION("IMPORTRANGE(""https://docs.google.com/spreadsheets/d/1MeEWN-I1oV_STSDYn1IFDPWt_1FKiwhDph83XaGc0o0/edit?usp=sharing"",""งบพรบ!BP56"")"),0)</f>
        <v>0</v>
      </c>
      <c r="N137" s="90">
        <f ca="1">IFERROR(__xludf.DUMMYFUNCTION("IMPORTRANGE(""https://docs.google.com/spreadsheets/d/1MeEWN-I1oV_STSDYn1IFDPWt_1FKiwhDph83XaGc0o0/edit?usp=sharing"",""งบพรบ!BR56"")"),0)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IFERROR(__xludf.DUMMYFUNCTION("IMPORTRANGE(""https://docs.google.com/spreadsheets/d/1MeEWN-I1oV_STSDYn1IFDPWt_1FKiwhDph83XaGc0o0/edit?usp=sharing"",""งบพรบ!BN56"")"),0)</f>
        <v>0</v>
      </c>
      <c r="M140" s="90">
        <f ca="1">IFERROR(__xludf.DUMMYFUNCTION("IMPORTRANGE(""https://docs.google.com/spreadsheets/d/1MeEWN-I1oV_STSDYn1IFDPWt_1FKiwhDph83XaGc0o0/edit?usp=sharing"",""งบพรบ!BQ56"")"),0)</f>
        <v>0</v>
      </c>
      <c r="N140" s="90">
        <f ca="1">IFERROR(__xludf.DUMMYFUNCTION("IMPORTRANGE(""https://docs.google.com/spreadsheets/d/1MeEWN-I1oV_STSDYn1IFDPWt_1FKiwhDph83XaGc0o0/edit?usp=sharing"",""งบพรบ!BS56"")"),0)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IFERROR(__xludf.DUMMYFUNCTION("IMPORTRANGE(""https://docs.google.com/spreadsheets/d/1QqKyyYR6Q21VydFLVH3TRQUabQu_ym0Zz7PgGX0-kHA/edit?usp=sharing"",""แผน!U56"")"),0)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IFERROR(__xludf.DUMMYFUNCTION("IMPORTRANGE(""https://docs.google.com/spreadsheets/d/1QqKyyYR6Q21VydFLVH3TRQUabQu_ym0Zz7PgGX0-kHA/edit?usp=sharing"",""แผน!V56"")"),0)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IFERROR(__xludf.DUMMYFUNCTION("IMPORTRANGE(""https://docs.google.com/spreadsheets/d/1QqKyyYR6Q21VydFLVH3TRQUabQu_ym0Zz7PgGX0-kHA/edit?usp=sharing"",""แผน!W56"")"),0)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IFERROR(__xludf.DUMMYFUNCTION("IMPORTRANGE(""https://docs.google.com/spreadsheets/d/1MeEWN-I1oV_STSDYn1IFDPWt_1FKiwhDph83XaGc0o0/edit?usp=sharing"",""งบพรบ!BU56"")"),0)</f>
        <v>0</v>
      </c>
      <c r="M154" s="90">
        <f ca="1">IFERROR(__xludf.DUMMYFUNCTION("IMPORTRANGE(""https://docs.google.com/spreadsheets/d/1MeEWN-I1oV_STSDYn1IFDPWt_1FKiwhDph83XaGc0o0/edit?usp=sharing"",""งบพรบ!BZ56"")"),0)</f>
        <v>0</v>
      </c>
      <c r="N154" s="90">
        <f ca="1">IFERROR(__xludf.DUMMYFUNCTION("IMPORTRANGE(""https://docs.google.com/spreadsheets/d/1MeEWN-I1oV_STSDYn1IFDPWt_1FKiwhDph83XaGc0o0/edit?usp=sharing"",""งบพรบ!CB56"")"),0)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IFERROR(__xludf.DUMMYFUNCTION("IMPORTRANGE(""https://docs.google.com/spreadsheets/d/1MeEWN-I1oV_STSDYn1IFDPWt_1FKiwhDph83XaGc0o0/edit?usp=sharing"",""งบพรบ!BX56"")"),0)</f>
        <v>0</v>
      </c>
      <c r="M157" s="90">
        <f ca="1">IFERROR(__xludf.DUMMYFUNCTION("IMPORTRANGE(""https://docs.google.com/spreadsheets/d/1MeEWN-I1oV_STSDYn1IFDPWt_1FKiwhDph83XaGc0o0/edit?usp=sharing"",""งบพรบ!CA56"")"),0)</f>
        <v>0</v>
      </c>
      <c r="N157" s="90">
        <f ca="1">IFERROR(__xludf.DUMMYFUNCTION("IMPORTRANGE(""https://docs.google.com/spreadsheets/d/1MeEWN-I1oV_STSDYn1IFDPWt_1FKiwhDph83XaGc0o0/edit?usp=sharing"",""งบพรบ!CC56"")"),0)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IFERROR(__xludf.DUMMYFUNCTION("IMPORTRANGE(""https://docs.google.com/spreadsheets/d/1QqKyyYR6Q21VydFLVH3TRQUabQu_ym0Zz7PgGX0-kHA/edit?usp=sharing"",""แผน!X56"")"),0)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 hidden="1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 hidden="1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0</v>
      </c>
      <c r="M165" s="150">
        <f t="shared" ca="1" si="84"/>
        <v>0</v>
      </c>
      <c r="N165" s="150">
        <f t="shared" ca="1" si="84"/>
        <v>0</v>
      </c>
      <c r="O165" s="150">
        <f t="shared" ref="O165:O173" ca="1" si="85">IF(L165&gt;0,N165*100/L165,0)</f>
        <v>0</v>
      </c>
      <c r="P165" s="150">
        <f t="shared" ref="P165:P173" ca="1" si="86">IF(M165&gt;0,N165*100/M165,0)</f>
        <v>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0</v>
      </c>
      <c r="M167" s="90">
        <f t="shared" ca="1" si="87"/>
        <v>0</v>
      </c>
      <c r="N167" s="90">
        <f t="shared" ca="1" si="87"/>
        <v>0</v>
      </c>
      <c r="O167" s="90">
        <f t="shared" ca="1" si="85"/>
        <v>0</v>
      </c>
      <c r="P167" s="90">
        <f t="shared" ca="1" si="86"/>
        <v>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 hidden="1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0</v>
      </c>
      <c r="M168" s="495">
        <f t="shared" ca="1" si="88"/>
        <v>0</v>
      </c>
      <c r="N168" s="495">
        <f t="shared" ca="1" si="88"/>
        <v>0</v>
      </c>
      <c r="O168" s="495">
        <f t="shared" ca="1" si="85"/>
        <v>0</v>
      </c>
      <c r="P168" s="495">
        <f t="shared" ca="1" si="86"/>
        <v>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IFERROR(__xludf.DUMMYFUNCTION("IMPORTRANGE(""https://docs.google.com/spreadsheets/d/1MeEWN-I1oV_STSDYn1IFDPWt_1FKiwhDph83XaGc0o0/edit?usp=sharing"",""งบพรบ!CE56"")"),0)</f>
        <v>0</v>
      </c>
      <c r="M170" s="90">
        <f ca="1">IFERROR(__xludf.DUMMYFUNCTION("IMPORTRANGE(""https://docs.google.com/spreadsheets/d/1MeEWN-I1oV_STSDYn1IFDPWt_1FKiwhDph83XaGc0o0/edit?usp=sharing"",""งบพรบ!CJ56"")"),0)</f>
        <v>0</v>
      </c>
      <c r="N170" s="90">
        <f ca="1">IFERROR(__xludf.DUMMYFUNCTION("IMPORTRANGE(""https://docs.google.com/spreadsheets/d/1MeEWN-I1oV_STSDYn1IFDPWt_1FKiwhDph83XaGc0o0/edit?usp=sharing"",""งบพรบ!CL56"")"),0)</f>
        <v>0</v>
      </c>
      <c r="O170" s="90">
        <f t="shared" ca="1" si="85"/>
        <v>0</v>
      </c>
      <c r="P170" s="90">
        <f t="shared" ca="1" si="86"/>
        <v>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 hidden="1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IFERROR(__xludf.DUMMYFUNCTION("IMPORTRANGE(""https://docs.google.com/spreadsheets/d/1MeEWN-I1oV_STSDYn1IFDPWt_1FKiwhDph83XaGc0o0/edit?usp=sharing"",""งบพรบ!CH56"")"),0)</f>
        <v>0</v>
      </c>
      <c r="M173" s="90">
        <f ca="1">IFERROR(__xludf.DUMMYFUNCTION("IMPORTRANGE(""https://docs.google.com/spreadsheets/d/1MeEWN-I1oV_STSDYn1IFDPWt_1FKiwhDph83XaGc0o0/edit?usp=sharing"",""งบพรบ!CK56"")"),0)</f>
        <v>0</v>
      </c>
      <c r="N173" s="90">
        <f ca="1">IFERROR(__xludf.DUMMYFUNCTION("IMPORTRANGE(""https://docs.google.com/spreadsheets/d/1MeEWN-I1oV_STSDYn1IFDPWt_1FKiwhDph83XaGc0o0/edit?usp=sharing"",""งบพรบ!CM56"")"),0)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 hidden="1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 hidden="1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 hidden="1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IFERROR(__xludf.DUMMYFUNCTION("IMPORTRANGE(""https://docs.google.com/spreadsheets/d/1QqKyyYR6Q21VydFLVH3TRQUabQu_ym0Zz7PgGX0-kHA/edit?usp=sharing"",""แผน!Y56"")"),0)</f>
        <v>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153900</v>
      </c>
      <c r="M181" s="150">
        <f t="shared" ca="1" si="91"/>
        <v>72500</v>
      </c>
      <c r="N181" s="150">
        <f t="shared" ca="1" si="91"/>
        <v>2500</v>
      </c>
      <c r="O181" s="150">
        <f t="shared" ref="O181:O189" ca="1" si="92">IF(L181&gt;0,N181*100/L181,0)</f>
        <v>1.6244314489928524</v>
      </c>
      <c r="P181" s="150">
        <f t="shared" ref="P181:P189" ca="1" si="93">IF(M181&gt;0,N181*100/M181,0)</f>
        <v>3.4482758620689653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153900</v>
      </c>
      <c r="M183" s="90">
        <f t="shared" ca="1" si="94"/>
        <v>72500</v>
      </c>
      <c r="N183" s="90">
        <f t="shared" ca="1" si="94"/>
        <v>2500</v>
      </c>
      <c r="O183" s="90">
        <f t="shared" ca="1" si="92"/>
        <v>1.6244314489928524</v>
      </c>
      <c r="P183" s="90">
        <f t="shared" ca="1" si="93"/>
        <v>3.4482758620689653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153900</v>
      </c>
      <c r="M184" s="495">
        <f t="shared" ca="1" si="95"/>
        <v>72500</v>
      </c>
      <c r="N184" s="495">
        <f t="shared" ca="1" si="95"/>
        <v>2500</v>
      </c>
      <c r="O184" s="495">
        <f t="shared" ca="1" si="92"/>
        <v>1.6244314489928524</v>
      </c>
      <c r="P184" s="495">
        <f t="shared" ca="1" si="93"/>
        <v>3.4482758620689653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IFERROR(__xludf.DUMMYFUNCTION("IMPORTRANGE(""https://docs.google.com/spreadsheets/d/1MeEWN-I1oV_STSDYn1IFDPWt_1FKiwhDph83XaGc0o0/edit?usp=sharing"",""งบพรบ!CO56"")"),153900)</f>
        <v>153900</v>
      </c>
      <c r="M186" s="90">
        <f ca="1">IFERROR(__xludf.DUMMYFUNCTION("IMPORTRANGE(""https://docs.google.com/spreadsheets/d/1MeEWN-I1oV_STSDYn1IFDPWt_1FKiwhDph83XaGc0o0/edit?usp=sharing"",""งบพรบ!CT56"")"),72500)</f>
        <v>72500</v>
      </c>
      <c r="N186" s="90">
        <f ca="1">IFERROR(__xludf.DUMMYFUNCTION("IMPORTRANGE(""https://docs.google.com/spreadsheets/d/1MeEWN-I1oV_STSDYn1IFDPWt_1FKiwhDph83XaGc0o0/edit?usp=sharing"",""งบพรบ!CV56"")"),2500)</f>
        <v>2500</v>
      </c>
      <c r="O186" s="90">
        <f t="shared" ca="1" si="92"/>
        <v>1.6244314489928524</v>
      </c>
      <c r="P186" s="90">
        <f t="shared" ca="1" si="93"/>
        <v>3.4482758620689653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IFERROR(__xludf.DUMMYFUNCTION("IMPORTRANGE(""https://docs.google.com/spreadsheets/d/1MeEWN-I1oV_STSDYn1IFDPWt_1FKiwhDph83XaGc0o0/edit?usp=sharing"",""งบพรบ!CR56"")"),0)</f>
        <v>0</v>
      </c>
      <c r="M189" s="90">
        <f ca="1">IFERROR(__xludf.DUMMYFUNCTION("IMPORTRANGE(""https://docs.google.com/spreadsheets/d/1MeEWN-I1oV_STSDYn1IFDPWt_1FKiwhDph83XaGc0o0/edit?usp=sharing"",""งบพรบ!CU56"")"),0)</f>
        <v>0</v>
      </c>
      <c r="N189" s="90">
        <f ca="1">IFERROR(__xludf.DUMMYFUNCTION("IMPORTRANGE(""https://docs.google.com/spreadsheets/d/1MeEWN-I1oV_STSDYn1IFDPWt_1FKiwhDph83XaGc0o0/edit?usp=sharing"",""งบพรบ!CW56"")"),0)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IFERROR(__xludf.DUMMYFUNCTION("IMPORTRANGE(""https://docs.google.com/spreadsheets/d/1QqKyyYR6Q21VydFLVH3TRQUabQu_ym0Zz7PgGX0-kHA/edit?usp=sharing"",""แผน!Z56"")"),6000)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IFERROR(__xludf.DUMMYFUNCTION("IMPORTRANGE(""https://docs.google.com/spreadsheets/d/1QqKyyYR6Q21VydFLVH3TRQUabQu_ym0Zz7PgGX0-kHA/edit?usp=sharing"",""แผน!AC56"")"),4)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4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57000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IFERROR(__xludf.DUMMYFUNCTION("IMPORTRANGE(""https://docs.google.com/spreadsheets/d/1QqKyyYR6Q21VydFLVH3TRQUabQu_ym0Zz7PgGX0-kHA/edit?usp=sharing"",""แผน!AE56"")"),4000)</f>
        <v>4000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IFERROR(__xludf.DUMMYFUNCTION("IMPORTRANGE(""https://docs.google.com/spreadsheets/d/1QqKyyYR6Q21VydFLVH3TRQUabQu_ym0Zz7PgGX0-kHA/edit?usp=sharing"",""แผน!AF56"")"),32000)</f>
        <v>32000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IFERROR(__xludf.DUMMYFUNCTION("IMPORTRANGE(""https://docs.google.com/spreadsheets/d/1QqKyyYR6Q21VydFLVH3TRQUabQu_ym0Zz7PgGX0-kHA/edit?usp=sharing"",""แผน!AG56"")"),16000)</f>
        <v>16000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IFERROR(__xludf.DUMMYFUNCTION("IMPORTRANGE(""https://docs.google.com/spreadsheets/d/1QqKyyYR6Q21VydFLVH3TRQUabQu_ym0Zz7PgGX0-kHA/edit?usp=sharing"",""แผน!AH56"")"),5000)</f>
        <v>5000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IFERROR(__xludf.DUMMYFUNCTION("IMPORTRANGE(""https://docs.google.com/spreadsheets/d/1QqKyyYR6Q21VydFLVH3TRQUabQu_ym0Zz7PgGX0-kHA/edit?usp=sharing"",""แผน!AI56"")"),4)</f>
        <v>4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4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1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IFERROR(__xludf.DUMMYFUNCTION("IMPORTRANGE(""https://docs.google.com/spreadsheets/d/1QqKyyYR6Q21VydFLVH3TRQUabQu_ym0Zz7PgGX0-kHA/edit?usp=sharing"",""แผน!AK56"")"),0)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IFERROR(__xludf.DUMMYFUNCTION("IMPORTRANGE(""https://docs.google.com/spreadsheets/d/1QqKyyYR6Q21VydFLVH3TRQUabQu_ym0Zz7PgGX0-kHA/edit?usp=sharing"",""แผน!AL56"")"),0)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IFERROR(__xludf.DUMMYFUNCTION("IMPORTRANGE(""https://docs.google.com/spreadsheets/d/1QqKyyYR6Q21VydFLVH3TRQUabQu_ym0Zz7PgGX0-kHA/edit?usp=sharing"",""แผน!AM56"")"),0)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IFERROR(__xludf.DUMMYFUNCTION("IMPORTRANGE(""https://docs.google.com/spreadsheets/d/1QqKyyYR6Q21VydFLVH3TRQUabQu_ym0Zz7PgGX0-kHA/edit?usp=sharing"",""แผน!AN56"")"),0)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IFERROR(__xludf.DUMMYFUNCTION("IMPORTRANGE(""https://docs.google.com/spreadsheets/d/1QqKyyYR6Q21VydFLVH3TRQUabQu_ym0Zz7PgGX0-kHA/edit?usp=sharing"",""แผน!AN56"")"),0)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5000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15900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IFERROR(__xludf.DUMMYFUNCTION("IMPORTRANGE(""https://docs.google.com/spreadsheets/d/1QqKyyYR6Q21VydFLVH3TRQUabQu_ym0Zz7PgGX0-kHA/edit?usp=sharing"",""แผน!AP56"")"),3000)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IFERROR(__xludf.DUMMYFUNCTION("IMPORTRANGE(""https://docs.google.com/spreadsheets/d/1QqKyyYR6Q21VydFLVH3TRQUabQu_ym0Zz7PgGX0-kHA/edit?usp=sharing"",""แผน!AQ56"")"),2900)</f>
        <v>2900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IFERROR(__xludf.DUMMYFUNCTION("IMPORTRANGE(""https://docs.google.com/spreadsheets/d/1QqKyyYR6Q21VydFLVH3TRQUabQu_ym0Zz7PgGX0-kHA/edit?usp=sharing"",""แผน!AR56"")"),10000)</f>
        <v>10000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IFERROR(__xludf.DUMMYFUNCTION("IMPORTRANGE(""https://docs.google.com/spreadsheets/d/1QqKyyYR6Q21VydFLVH3TRQUabQu_ym0Zz7PgGX0-kHA/edit?usp=sharing"",""แผน!AT56"")"),5000)</f>
        <v>5000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IFERROR(__xludf.DUMMYFUNCTION("IMPORTRANGE(""https://docs.google.com/spreadsheets/d/1QqKyyYR6Q21VydFLVH3TRQUabQu_ym0Zz7PgGX0-kHA/edit?usp=sharing"",""แผน!AT56"")"),5000)</f>
        <v>5000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IFERROR(__xludf.DUMMYFUNCTION("IMPORTRANGE(""https://docs.google.com/spreadsheets/d/1QqKyyYR6Q21VydFLVH3TRQUabQu_ym0Zz7PgGX0-kHA/edit?usp=sharing"",""แผน!AS56"")"),10)</f>
        <v>10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75000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20000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15000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30000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10000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30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1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30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75000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IFERROR(__xludf.DUMMYFUNCTION("IMPORTRANGE(""https://docs.google.com/spreadsheets/d/1QqKyyYR6Q21VydFLVH3TRQUabQu_ym0Zz7PgGX0-kHA/edit?usp=sharing"",""แผน!AV56"")"),20000)</f>
        <v>20000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IFERROR(__xludf.DUMMYFUNCTION("IMPORTRANGE(""https://docs.google.com/spreadsheets/d/1QqKyyYR6Q21VydFLVH3TRQUabQu_ym0Zz7PgGX0-kHA/edit?usp=sharing"",""แผน!AW56"")"),15000)</f>
        <v>15000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IFERROR(__xludf.DUMMYFUNCTION("IMPORTRANGE(""https://docs.google.com/spreadsheets/d/1QqKyyYR6Q21VydFLVH3TRQUabQu_ym0Zz7PgGX0-kHA/edit?usp=sharing"",""แผน!AX56"")"),30000)</f>
        <v>30000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IFERROR(__xludf.DUMMYFUNCTION("IMPORTRANGE(""https://docs.google.com/spreadsheets/d/1QqKyyYR6Q21VydFLVH3TRQUabQu_ym0Zz7PgGX0-kHA/edit?usp=sharing"",""แผน!AY56"")"),10000)</f>
        <v>10000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IFERROR(__xludf.DUMMYFUNCTION("IMPORTRANGE(""https://docs.google.com/spreadsheets/d/1QqKyyYR6Q21VydFLVH3TRQUabQu_ym0Zz7PgGX0-kHA/edit?usp=sharing"",""แผน!BE56"")"),30)</f>
        <v>30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30</v>
      </c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IFERROR(__xludf.DUMMYFUNCTION("IMPORTRANGE(""https://docs.google.com/spreadsheets/d/1QqKyyYR6Q21VydFLVH3TRQUabQu_ym0Zz7PgGX0-kHA/edit?usp=sharing"",""แผน!AZ56"")"),0)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IFERROR(__xludf.DUMMYFUNCTION("IMPORTRANGE(""https://docs.google.com/spreadsheets/d/1QqKyyYR6Q21VydFLVH3TRQUabQu_ym0Zz7PgGX0-kHA/edit?usp=sharing"",""แผน!BA56"")"),0)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IFERROR(__xludf.DUMMYFUNCTION("IMPORTRANGE(""https://docs.google.com/spreadsheets/d/1QqKyyYR6Q21VydFLVH3TRQUabQu_ym0Zz7PgGX0-kHA/edit?usp=sharing"",""แผน!BB56"")"),0)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IFERROR(__xludf.DUMMYFUNCTION("IMPORTRANGE(""https://docs.google.com/spreadsheets/d/1QqKyyYR6Q21VydFLVH3TRQUabQu_ym0Zz7PgGX0-kHA/edit?usp=sharing"",""แผน!BC56"")"),0)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IFERROR(__xludf.DUMMYFUNCTION("IMPORTRANGE(""https://docs.google.com/spreadsheets/d/1QqKyyYR6Q21VydFLVH3TRQUabQu_ym0Zz7PgGX0-kHA/edit?usp=sharing"",""แผน!BF56"")"),"")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20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25000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25000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25000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IFERROR(__xludf.DUMMYFUNCTION("IMPORTRANGE(""https://docs.google.com/spreadsheets/d/1MeEWN-I1oV_STSDYn1IFDPWt_1FKiwhDph83XaGc0o0/edit?usp=sharing"",""งบพรบ!CY56"")"),25000)</f>
        <v>25000</v>
      </c>
      <c r="M266" s="90">
        <f ca="1">IFERROR(__xludf.DUMMYFUNCTION("IMPORTRANGE(""https://docs.google.com/spreadsheets/d/1MeEWN-I1oV_STSDYn1IFDPWt_1FKiwhDph83XaGc0o0/edit?usp=sharing"",""งบพรบ!DD56"")"),0)</f>
        <v>0</v>
      </c>
      <c r="N266" s="90">
        <f ca="1">IFERROR(__xludf.DUMMYFUNCTION("IMPORTRANGE(""https://docs.google.com/spreadsheets/d/1MeEWN-I1oV_STSDYn1IFDPWt_1FKiwhDph83XaGc0o0/edit?usp=sharing"",""งบพรบ!DF56"")"),0)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IFERROR(__xludf.DUMMYFUNCTION("IMPORTRANGE(""https://docs.google.com/spreadsheets/d/1MeEWN-I1oV_STSDYn1IFDPWt_1FKiwhDph83XaGc0o0/edit?usp=sharing"",""งบพรบ!DB56"")"),0)</f>
        <v>0</v>
      </c>
      <c r="M269" s="90">
        <f ca="1">IFERROR(__xludf.DUMMYFUNCTION("IMPORTRANGE(""https://docs.google.com/spreadsheets/d/1MeEWN-I1oV_STSDYn1IFDPWt_1FKiwhDph83XaGc0o0/edit?usp=sharing"",""งบพรบ!DE56"")"),0)</f>
        <v>0</v>
      </c>
      <c r="N269" s="90">
        <f ca="1">IFERROR(__xludf.DUMMYFUNCTION("IMPORTRANGE(""https://docs.google.com/spreadsheets/d/1MeEWN-I1oV_STSDYn1IFDPWt_1FKiwhDph83XaGc0o0/edit?usp=sharing"",""งบพรบ!DG56"")"),0)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IFERROR(__xludf.DUMMYFUNCTION("IMPORTRANGE(""https://docs.google.com/spreadsheets/d/1QqKyyYR6Q21VydFLVH3TRQUabQu_ym0Zz7PgGX0-kHA/edit?usp=sharing"",""แผน!EA56"")"),20)</f>
        <v>20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5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50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163030</v>
      </c>
      <c r="M277" s="151">
        <f t="shared" ca="1" si="124"/>
        <v>79610</v>
      </c>
      <c r="N277" s="151">
        <f t="shared" ca="1" si="124"/>
        <v>2120</v>
      </c>
      <c r="O277" s="151">
        <f t="shared" ref="O277:O285" ca="1" si="125">IF(L277&gt;0,N277*100/L277,0)</f>
        <v>1.3003741642642459</v>
      </c>
      <c r="P277" s="151">
        <f t="shared" ref="P277:P285" ca="1" si="126">IF(M277&gt;0,N277*100/M277,0)</f>
        <v>2.6629820374324833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163030</v>
      </c>
      <c r="M279" s="90">
        <f t="shared" ca="1" si="127"/>
        <v>79610</v>
      </c>
      <c r="N279" s="90">
        <f t="shared" ca="1" si="127"/>
        <v>2120</v>
      </c>
      <c r="O279" s="90">
        <f t="shared" ca="1" si="125"/>
        <v>1.3003741642642459</v>
      </c>
      <c r="P279" s="90">
        <f t="shared" ca="1" si="126"/>
        <v>2.6629820374324833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163030</v>
      </c>
      <c r="M280" s="495">
        <f t="shared" ca="1" si="128"/>
        <v>79610</v>
      </c>
      <c r="N280" s="495">
        <f t="shared" ca="1" si="128"/>
        <v>2120</v>
      </c>
      <c r="O280" s="495">
        <f t="shared" ca="1" si="125"/>
        <v>1.3003741642642459</v>
      </c>
      <c r="P280" s="495">
        <f t="shared" ca="1" si="126"/>
        <v>2.6629820374324833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IFERROR(__xludf.DUMMYFUNCTION("IMPORTRANGE(""https://docs.google.com/spreadsheets/d/1MeEWN-I1oV_STSDYn1IFDPWt_1FKiwhDph83XaGc0o0/edit?usp=sharing"",""งบพรบ!DI56"")"),163030)</f>
        <v>163030</v>
      </c>
      <c r="M282" s="90">
        <f ca="1">IFERROR(__xludf.DUMMYFUNCTION("IMPORTRANGE(""https://docs.google.com/spreadsheets/d/1MeEWN-I1oV_STSDYn1IFDPWt_1FKiwhDph83XaGc0o0/edit?usp=sharing"",""งบพรบ!DN56"")"),79610)</f>
        <v>79610</v>
      </c>
      <c r="N282" s="90">
        <f ca="1">IFERROR(__xludf.DUMMYFUNCTION("IMPORTRANGE(""https://docs.google.com/spreadsheets/d/1MeEWN-I1oV_STSDYn1IFDPWt_1FKiwhDph83XaGc0o0/edit?usp=sharing"",""งบพรบ!DP56"")"),2120)</f>
        <v>2120</v>
      </c>
      <c r="O282" s="90">
        <f t="shared" ca="1" si="125"/>
        <v>1.3003741642642459</v>
      </c>
      <c r="P282" s="90">
        <f t="shared" ca="1" si="126"/>
        <v>2.6629820374324833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IFERROR(__xludf.DUMMYFUNCTION("IMPORTRANGE(""https://docs.google.com/spreadsheets/d/1MeEWN-I1oV_STSDYn1IFDPWt_1FKiwhDph83XaGc0o0/edit?usp=sharing"",""งบพรบ!DL56"")"),0)</f>
        <v>0</v>
      </c>
      <c r="M285" s="90">
        <f ca="1">IFERROR(__xludf.DUMMYFUNCTION("IMPORTRANGE(""https://docs.google.com/spreadsheets/d/1MeEWN-I1oV_STSDYn1IFDPWt_1FKiwhDph83XaGc0o0/edit?usp=sharing"",""งบพรบ!DO56"")"),0)</f>
        <v>0</v>
      </c>
      <c r="N285" s="90">
        <f ca="1">IFERROR(__xludf.DUMMYFUNCTION("IMPORTRANGE(""https://docs.google.com/spreadsheets/d/1MeEWN-I1oV_STSDYn1IFDPWt_1FKiwhDph83XaGc0o0/edit?usp=sharing"",""งบพรบ!DQ56"")"),0)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IFERROR(__xludf.DUMMYFUNCTION("IMPORTRANGE(""https://docs.google.com/spreadsheets/d/1QqKyyYR6Q21VydFLVH3TRQUabQu_ym0Zz7PgGX0-kHA/edit?usp=sharing"",""แผน!EC56"")"),50)</f>
        <v>50</v>
      </c>
      <c r="J287" s="210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IFERROR(__xludf.DUMMYFUNCTION("IMPORTRANGE(""https://docs.google.com/spreadsheets/d/1QqKyyYR6Q21VydFLVH3TRQUabQu_ym0Zz7PgGX0-kHA/edit?usp=sharing"",""แผน!EB56"")"),5)</f>
        <v>5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IFERROR(__xludf.DUMMYFUNCTION("IMPORTRANGE(""https://docs.google.com/spreadsheets/d/1QqKyyYR6Q21VydFLVH3TRQUabQu_ym0Zz7PgGX0-kHA/edit?usp=sharing"",""แผน!EB56"")"),5)</f>
        <v>5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>
      <c r="A291" s="166"/>
      <c r="B291" s="167"/>
      <c r="C291" s="167"/>
      <c r="D291" s="174"/>
      <c r="E291" s="618" t="s">
        <v>133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IFERROR(__xludf.DUMMYFUNCTION("IMPORTRANGE(""https://docs.google.com/spreadsheets/d/1QqKyyYR6Q21VydFLVH3TRQUabQu_ym0Zz7PgGX0-kHA/edit?usp=sharing"",""แผน!EB56"")"),5)</f>
        <v>5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IFERROR(__xludf.DUMMYFUNCTION("IMPORTRANGE(""https://docs.google.com/spreadsheets/d/1QqKyyYR6Q21VydFLVH3TRQUabQu_ym0Zz7PgGX0-kHA/edit?usp=sharing"",""แผน!EB56"")"),5)</f>
        <v>5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>
      <c r="A294" s="375"/>
      <c r="B294" s="376"/>
      <c r="C294" s="376"/>
      <c r="D294" s="378"/>
      <c r="E294" s="724" t="s">
        <v>136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IFERROR(__xludf.DUMMYFUNCTION("IMPORTRANGE(""https://docs.google.com/spreadsheets/d/1QqKyyYR6Q21VydFLVH3TRQUabQu_ym0Zz7PgGX0-kHA/edit?usp=sharing"",""แผน!EB56"")"),5)</f>
        <v>5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15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206800</v>
      </c>
      <c r="M298" s="151">
        <f t="shared" ca="1" si="134"/>
        <v>102840</v>
      </c>
      <c r="N298" s="151">
        <f t="shared" ca="1" si="134"/>
        <v>32369</v>
      </c>
      <c r="O298" s="151">
        <f t="shared" ref="O298:O306" ca="1" si="135">IF(L298&gt;0,N298*100/L298,0)</f>
        <v>15.652321083172147</v>
      </c>
      <c r="P298" s="151">
        <f t="shared" ref="P298:P306" ca="1" si="136">IF(M298&gt;0,N298*100/M298,0)</f>
        <v>31.475106962271489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206800</v>
      </c>
      <c r="M300" s="90">
        <f t="shared" ca="1" si="137"/>
        <v>102840</v>
      </c>
      <c r="N300" s="90">
        <f t="shared" ca="1" si="137"/>
        <v>32369</v>
      </c>
      <c r="O300" s="90">
        <f t="shared" ca="1" si="135"/>
        <v>15.652321083172147</v>
      </c>
      <c r="P300" s="90">
        <f t="shared" ca="1" si="136"/>
        <v>31.475106962271489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206800</v>
      </c>
      <c r="M301" s="495">
        <f t="shared" ca="1" si="138"/>
        <v>102840</v>
      </c>
      <c r="N301" s="495">
        <f t="shared" ca="1" si="138"/>
        <v>32369</v>
      </c>
      <c r="O301" s="495">
        <f t="shared" ca="1" si="135"/>
        <v>15.652321083172147</v>
      </c>
      <c r="P301" s="495">
        <f t="shared" ca="1" si="136"/>
        <v>31.475106962271489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IFERROR(__xludf.DUMMYFUNCTION("IMPORTRANGE(""https://docs.google.com/spreadsheets/d/1MeEWN-I1oV_STSDYn1IFDPWt_1FKiwhDph83XaGc0o0/edit?usp=sharing"",""งบพรบ!DS56"")"),206800)</f>
        <v>206800</v>
      </c>
      <c r="M303" s="90">
        <f ca="1">IFERROR(__xludf.DUMMYFUNCTION("IMPORTRANGE(""https://docs.google.com/spreadsheets/d/1MeEWN-I1oV_STSDYn1IFDPWt_1FKiwhDph83XaGc0o0/edit?usp=sharing"",""งบพรบ!DX56"")"),102840)</f>
        <v>102840</v>
      </c>
      <c r="N303" s="90">
        <f ca="1">IFERROR(__xludf.DUMMYFUNCTION("IMPORTRANGE(""https://docs.google.com/spreadsheets/d/1MeEWN-I1oV_STSDYn1IFDPWt_1FKiwhDph83XaGc0o0/edit?usp=sharing"",""งบพรบ!DZ56"")"),32369)</f>
        <v>32369</v>
      </c>
      <c r="O303" s="90">
        <f t="shared" ca="1" si="135"/>
        <v>15.652321083172147</v>
      </c>
      <c r="P303" s="90">
        <f t="shared" ca="1" si="136"/>
        <v>31.475106962271489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IFERROR(__xludf.DUMMYFUNCTION("IMPORTRANGE(""https://docs.google.com/spreadsheets/d/1MeEWN-I1oV_STSDYn1IFDPWt_1FKiwhDph83XaGc0o0/edit?usp=sharing"",""งบพรบ!DV56"")"),0)</f>
        <v>0</v>
      </c>
      <c r="M306" s="90">
        <f ca="1">IFERROR(__xludf.DUMMYFUNCTION("IMPORTRANGE(""https://docs.google.com/spreadsheets/d/1MeEWN-I1oV_STSDYn1IFDPWt_1FKiwhDph83XaGc0o0/edit?usp=sharing"",""งบพรบ!DY56"")"),0)</f>
        <v>0</v>
      </c>
      <c r="N306" s="90">
        <f ca="1">IFERROR(__xludf.DUMMYFUNCTION("IMPORTRANGE(""https://docs.google.com/spreadsheets/d/1MeEWN-I1oV_STSDYn1IFDPWt_1FKiwhDph83XaGc0o0/edit?usp=sharing"",""งบพรบ!EA56"")"),0)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IFERROR(__xludf.DUMMYFUNCTION("IMPORTRANGE(""https://docs.google.com/spreadsheets/d/1QqKyyYR6Q21VydFLVH3TRQUabQu_ym0Zz7PgGX0-kHA/edit?usp=sharing"",""แผน!ED56"")"),15)</f>
        <v>15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IFERROR(__xludf.DUMMYFUNCTION("IMPORTRANGE(""https://docs.google.com/spreadsheets/d/1QqKyyYR6Q21VydFLVH3TRQUabQu_ym0Zz7PgGX0-kHA/edit?usp=sharing"",""แผน!ED56"")"),15)</f>
        <v>15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IFERROR(__xludf.DUMMYFUNCTION("IMPORTRANGE(""https://docs.google.com/spreadsheets/d/1QqKyyYR6Q21VydFLVH3TRQUabQu_ym0Zz7PgGX0-kHA/edit?usp=sharing"",""แผน!ED56"")"),15)</f>
        <v>15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IFERROR(__xludf.DUMMYFUNCTION("IMPORTRANGE(""https://docs.google.com/spreadsheets/d/1QqKyyYR6Q21VydFLVH3TRQUabQu_ym0Zz7PgGX0-kHA/edit?usp=sharing"",""แผน!EE56"")"),3)</f>
        <v>3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2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153000</v>
      </c>
      <c r="M315" s="151">
        <f t="shared" ca="1" si="142"/>
        <v>76500</v>
      </c>
      <c r="N315" s="151">
        <f t="shared" ca="1" si="142"/>
        <v>26473</v>
      </c>
      <c r="O315" s="151">
        <f t="shared" ref="O315:O323" ca="1" si="143">IF(L315&gt;0,N315*100/L315,0)</f>
        <v>17.302614379084968</v>
      </c>
      <c r="P315" s="151">
        <f t="shared" ref="P315:P323" ca="1" si="144">IF(M315&gt;0,N315*100/M315,0)</f>
        <v>34.605228758169936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153000</v>
      </c>
      <c r="M317" s="90">
        <f t="shared" ca="1" si="145"/>
        <v>76500</v>
      </c>
      <c r="N317" s="90">
        <f t="shared" ca="1" si="145"/>
        <v>26473</v>
      </c>
      <c r="O317" s="90">
        <f t="shared" ca="1" si="143"/>
        <v>17.302614379084968</v>
      </c>
      <c r="P317" s="90">
        <f t="shared" ca="1" si="144"/>
        <v>34.605228758169936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153000</v>
      </c>
      <c r="M318" s="495">
        <f t="shared" ca="1" si="146"/>
        <v>76500</v>
      </c>
      <c r="N318" s="495">
        <f t="shared" ca="1" si="146"/>
        <v>26473</v>
      </c>
      <c r="O318" s="495">
        <f t="shared" ca="1" si="143"/>
        <v>17.302614379084968</v>
      </c>
      <c r="P318" s="495">
        <f t="shared" ca="1" si="144"/>
        <v>34.605228758169936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IFERROR(__xludf.DUMMYFUNCTION("IMPORTRANGE(""https://docs.google.com/spreadsheets/d/1MeEWN-I1oV_STSDYn1IFDPWt_1FKiwhDph83XaGc0o0/edit?usp=sharing"",""งบพรบ!EC56"")"),153000)</f>
        <v>153000</v>
      </c>
      <c r="M320" s="90">
        <f ca="1">IFERROR(__xludf.DUMMYFUNCTION("IMPORTRANGE(""https://docs.google.com/spreadsheets/d/1MeEWN-I1oV_STSDYn1IFDPWt_1FKiwhDph83XaGc0o0/edit?usp=sharing"",""งบพรบ!EH56"")"),76500)</f>
        <v>76500</v>
      </c>
      <c r="N320" s="90">
        <f ca="1">IFERROR(__xludf.DUMMYFUNCTION("IMPORTRANGE(""https://docs.google.com/spreadsheets/d/1MeEWN-I1oV_STSDYn1IFDPWt_1FKiwhDph83XaGc0o0/edit?usp=sharing"",""งบพรบ!EJ56"")"),26473)</f>
        <v>26473</v>
      </c>
      <c r="O320" s="90">
        <f t="shared" ca="1" si="143"/>
        <v>17.302614379084968</v>
      </c>
      <c r="P320" s="90">
        <f t="shared" ca="1" si="144"/>
        <v>34.605228758169936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IFERROR(__xludf.DUMMYFUNCTION("IMPORTRANGE(""https://docs.google.com/spreadsheets/d/1MeEWN-I1oV_STSDYn1IFDPWt_1FKiwhDph83XaGc0o0/edit?usp=sharing"",""งบพรบ!EF56"")"),0)</f>
        <v>0</v>
      </c>
      <c r="M323" s="90">
        <f ca="1">IFERROR(__xludf.DUMMYFUNCTION("IMPORTRANGE(""https://docs.google.com/spreadsheets/d/1MeEWN-I1oV_STSDYn1IFDPWt_1FKiwhDph83XaGc0o0/edit?usp=sharing"",""งบพรบ!EI56"")"),0)</f>
        <v>0</v>
      </c>
      <c r="N323" s="90">
        <f ca="1">IFERROR(__xludf.DUMMYFUNCTION("IMPORTRANGE(""https://docs.google.com/spreadsheets/d/1MeEWN-I1oV_STSDYn1IFDPWt_1FKiwhDph83XaGc0o0/edit?usp=sharing"",""งบพรบ!EK56"")"),0)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IFERROR(__xludf.DUMMYFUNCTION("IMPORTRANGE(""https://docs.google.com/spreadsheets/d/1QqKyyYR6Q21VydFLVH3TRQUabQu_ym0Zz7PgGX0-kHA/edit?usp=sharing"",""แผน!EF56"")"),2)</f>
        <v>2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IFERROR(__xludf.DUMMYFUNCTION("IMPORTRANGE(""https://docs.google.com/spreadsheets/d/1QqKyyYR6Q21VydFLVH3TRQUabQu_ym0Zz7PgGX0-kHA/edit?usp=sharing"",""แผน!EG56"")"),1400)</f>
        <v>1400</v>
      </c>
      <c r="J327" s="442">
        <f ca="1">J338+J341+J342+J343</f>
        <v>445</v>
      </c>
      <c r="K327" s="443">
        <f ca="1">IF(I327&gt;0,J327*100/I327,0)</f>
        <v>31.785714285714285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1016000</v>
      </c>
      <c r="M328" s="151">
        <f t="shared" ca="1" si="148"/>
        <v>933000</v>
      </c>
      <c r="N328" s="151">
        <f t="shared" ca="1" si="148"/>
        <v>36828</v>
      </c>
      <c r="O328" s="151">
        <f t="shared" ref="O328:O336" ca="1" si="149">IF(L328&gt;0,N328*100/L328,0)</f>
        <v>3.6248031496062993</v>
      </c>
      <c r="P328" s="151">
        <f t="shared" ref="P328:P336" ca="1" si="150">IF(M328&gt;0,N328*100/M328,0)</f>
        <v>3.9472668810289391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1016000</v>
      </c>
      <c r="M330" s="90">
        <f t="shared" ca="1" si="151"/>
        <v>933000</v>
      </c>
      <c r="N330" s="90">
        <f t="shared" ca="1" si="151"/>
        <v>36828</v>
      </c>
      <c r="O330" s="90">
        <f t="shared" ca="1" si="149"/>
        <v>3.6248031496062993</v>
      </c>
      <c r="P330" s="90">
        <f t="shared" ca="1" si="150"/>
        <v>3.9472668810289391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166000</v>
      </c>
      <c r="M331" s="495">
        <f t="shared" ca="1" si="152"/>
        <v>83000</v>
      </c>
      <c r="N331" s="495">
        <f t="shared" ca="1" si="152"/>
        <v>36828</v>
      </c>
      <c r="O331" s="495">
        <f t="shared" ca="1" si="149"/>
        <v>22.185542168674697</v>
      </c>
      <c r="P331" s="495">
        <f t="shared" ca="1" si="150"/>
        <v>44.371084337349394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IFERROR(__xludf.DUMMYFUNCTION("IMPORTRANGE(""https://docs.google.com/spreadsheets/d/1MeEWN-I1oV_STSDYn1IFDPWt_1FKiwhDph83XaGc0o0/edit?usp=sharing"",""งบพรบ!EM56"")"),166000)</f>
        <v>166000</v>
      </c>
      <c r="M333" s="90">
        <f ca="1">IFERROR(__xludf.DUMMYFUNCTION("IMPORTRANGE(""https://docs.google.com/spreadsheets/d/1MeEWN-I1oV_STSDYn1IFDPWt_1FKiwhDph83XaGc0o0/edit?usp=sharing"",""งบพรบ!ER56"")"),83000)</f>
        <v>83000</v>
      </c>
      <c r="N333" s="90">
        <f ca="1">IFERROR(__xludf.DUMMYFUNCTION("IMPORTRANGE(""https://docs.google.com/spreadsheets/d/1MeEWN-I1oV_STSDYn1IFDPWt_1FKiwhDph83XaGc0o0/edit?usp=sharing"",""งบพรบ!ET56"")"),36828)</f>
        <v>36828</v>
      </c>
      <c r="O333" s="90">
        <f t="shared" ca="1" si="149"/>
        <v>22.185542168674697</v>
      </c>
      <c r="P333" s="90">
        <f t="shared" ca="1" si="150"/>
        <v>44.371084337349394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850000</v>
      </c>
      <c r="M334" s="495">
        <f t="shared" ca="1" si="153"/>
        <v>850000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IFERROR(__xludf.DUMMYFUNCTION("IMPORTRANGE(""https://docs.google.com/spreadsheets/d/1MeEWN-I1oV_STSDYn1IFDPWt_1FKiwhDph83XaGc0o0/edit?usp=sharing"",""งบพรบ!EP56"")"),850000)</f>
        <v>850000</v>
      </c>
      <c r="M336" s="90">
        <f ca="1">IFERROR(__xludf.DUMMYFUNCTION("IMPORTRANGE(""https://docs.google.com/spreadsheets/d/1MeEWN-I1oV_STSDYn1IFDPWt_1FKiwhDph83XaGc0o0/edit?usp=sharing"",""งบพรบ!ES56"")"),850000)</f>
        <v>850000</v>
      </c>
      <c r="N336" s="90">
        <f ca="1">IFERROR(__xludf.DUMMYFUNCTION("IMPORTRANGE(""https://docs.google.com/spreadsheets/d/1MeEWN-I1oV_STSDYn1IFDPWt_1FKiwhDph83XaGc0o0/edit?usp=sharing"",""งบพรบ!EU56"")"),0)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IFERROR(__xludf.DUMMYFUNCTION("IMPORTRANGE(""https://docs.google.com/spreadsheets/d/1QqKyyYR6Q21VydFLVH3TRQUabQu_ym0Zz7PgGX0-kHA/edit?usp=sharing"",""แผน!EG56"")"),1400)</f>
        <v>1400</v>
      </c>
      <c r="J338" s="264">
        <f ca="1">IFERROR(__xludf.DUMMYFUNCTION("IMPORTRANGE(""https://docs.google.com/spreadsheets/d/1kVcqe37tkHyjCSG3S0O1AXqVkqjo8mSIZil3BcpIysc/edit?usp=sharing"",""ศูนย์!D56"")"),445)</f>
        <v>445</v>
      </c>
      <c r="K338" s="495">
        <f ca="1">IF(I338&gt;0,J338*100/I338,0)</f>
        <v>31.785714285714285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IFERROR(__xludf.DUMMYFUNCTION("IMPORTRANGE(""https://docs.google.com/spreadsheets/d/1QqKyyYR6Q21VydFLVH3TRQUabQu_ym0Zz7PgGX0-kHA/edit?usp=sharing"",""แผน!EH56"")"),4)</f>
        <v>4</v>
      </c>
      <c r="J340" s="264">
        <f ca="1">IFERROR(__xludf.DUMMYFUNCTION("IMPORTRANGE(""https://docs.google.com/spreadsheets/d/1kVcqe37tkHyjCSG3S0O1AXqVkqjo8mSIZil3BcpIysc/edit?usp=sharing"",""ศูนย์!E56"")"),0)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IFERROR(__xludf.DUMMYFUNCTION("IMPORTRANGE(""https://docs.google.com/spreadsheets/d/1kVcqe37tkHyjCSG3S0O1AXqVkqjo8mSIZil3BcpIysc/edit?usp=sharing"",""ศูนย์!F56"")"),0)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IFERROR(__xludf.DUMMYFUNCTION("IMPORTRANGE(""https://docs.google.com/spreadsheets/d/1kVcqe37tkHyjCSG3S0O1AXqVkqjo8mSIZil3BcpIysc/edit?usp=sharing"",""ศูนย์!G56"")"),0)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IFERROR(__xludf.DUMMYFUNCTION("IMPORTRANGE(""https://docs.google.com/spreadsheets/d/1kVcqe37tkHyjCSG3S0O1AXqVkqjo8mSIZil3BcpIysc/edit?usp=sharing"",""ศูนย์!H56"")"),0)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867850</v>
      </c>
      <c r="M345" s="151">
        <f t="shared" ca="1" si="154"/>
        <v>456430</v>
      </c>
      <c r="N345" s="151">
        <f t="shared" ca="1" si="154"/>
        <v>268956.40000000002</v>
      </c>
      <c r="O345" s="151">
        <f t="shared" ref="O345:O353" ca="1" si="155">IF(L345&gt;0,N345*100/L345,0)</f>
        <v>30.991115976263185</v>
      </c>
      <c r="P345" s="151">
        <f t="shared" ref="P345:P353" ca="1" si="156">IF(M345&gt;0,N345*100/M345,0)</f>
        <v>58.926100387792225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867850</v>
      </c>
      <c r="M347" s="90">
        <f t="shared" ca="1" si="157"/>
        <v>456430</v>
      </c>
      <c r="N347" s="90">
        <f t="shared" ca="1" si="157"/>
        <v>268956.40000000002</v>
      </c>
      <c r="O347" s="90">
        <f t="shared" ca="1" si="155"/>
        <v>30.991115976263185</v>
      </c>
      <c r="P347" s="90">
        <f t="shared" ca="1" si="156"/>
        <v>58.926100387792225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822850</v>
      </c>
      <c r="M348" s="495">
        <f t="shared" ca="1" si="158"/>
        <v>411430</v>
      </c>
      <c r="N348" s="495">
        <f t="shared" ca="1" si="158"/>
        <v>223956.4</v>
      </c>
      <c r="O348" s="495">
        <f t="shared" ca="1" si="155"/>
        <v>27.217159871179437</v>
      </c>
      <c r="P348" s="495">
        <f t="shared" ca="1" si="156"/>
        <v>54.433658216464529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IFERROR(__xludf.DUMMYFUNCTION("IMPORTRANGE(""https://docs.google.com/spreadsheets/d/1MeEWN-I1oV_STSDYn1IFDPWt_1FKiwhDph83XaGc0o0/edit?usp=sharing"",""งบพรบ!EW56"")"),822850)</f>
        <v>822850</v>
      </c>
      <c r="M350" s="90">
        <f ca="1">IFERROR(__xludf.DUMMYFUNCTION("IMPORTRANGE(""https://docs.google.com/spreadsheets/d/1MeEWN-I1oV_STSDYn1IFDPWt_1FKiwhDph83XaGc0o0/edit?usp=sharing"",""งบพรบ!FB56"")"),411430)</f>
        <v>411430</v>
      </c>
      <c r="N350" s="90">
        <f ca="1">IFERROR(__xludf.DUMMYFUNCTION("IMPORTRANGE(""https://docs.google.com/spreadsheets/d/1MeEWN-I1oV_STSDYn1IFDPWt_1FKiwhDph83XaGc0o0/edit?usp=sharing"",""งบพรบ!FD56"")"),223956.4)</f>
        <v>223956.4</v>
      </c>
      <c r="O350" s="90">
        <f t="shared" ca="1" si="155"/>
        <v>27.217159871179437</v>
      </c>
      <c r="P350" s="90">
        <f t="shared" ca="1" si="156"/>
        <v>54.433658216464529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45000</v>
      </c>
      <c r="M351" s="495">
        <f t="shared" ca="1" si="159"/>
        <v>45000</v>
      </c>
      <c r="N351" s="495">
        <f t="shared" ca="1" si="159"/>
        <v>45000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IFERROR(__xludf.DUMMYFUNCTION("IMPORTRANGE(""https://docs.google.com/spreadsheets/d/1MeEWN-I1oV_STSDYn1IFDPWt_1FKiwhDph83XaGc0o0/edit?usp=sharing"",""งบพรบ!EZ56"")"),45000)</f>
        <v>45000</v>
      </c>
      <c r="M353" s="90">
        <f ca="1">IFERROR(__xludf.DUMMYFUNCTION("IMPORTRANGE(""https://docs.google.com/spreadsheets/d/1MeEWN-I1oV_STSDYn1IFDPWt_1FKiwhDph83XaGc0o0/edit?usp=sharing"",""งบพรบ!FC56"")"),45000)</f>
        <v>45000</v>
      </c>
      <c r="N353" s="90">
        <f ca="1">IFERROR(__xludf.DUMMYFUNCTION("IMPORTRANGE(""https://docs.google.com/spreadsheets/d/1MeEWN-I1oV_STSDYn1IFDPWt_1FKiwhDph83XaGc0o0/edit?usp=sharing"",""งบพรบ!FE56"")"),45000)</f>
        <v>45000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IFERROR(__xludf.DUMMYFUNCTION("IMPORTRANGE(""https://docs.google.com/spreadsheets/d/1QqKyyYR6Q21VydFLVH3TRQUabQu_ym0Zz7PgGX0-kHA/edit?usp=sharing"",""แผน!EP56"")"),270)</f>
        <v>270</v>
      </c>
      <c r="J355" s="462">
        <f ca="1">J362</f>
        <v>11</v>
      </c>
      <c r="K355" s="463">
        <f ca="1">IF(I355&gt;0,J355*100/I355,0)</f>
        <v>4.0740740740740744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IFERROR(__xludf.DUMMYFUNCTION("IMPORTRANGE(""https://docs.google.com/spreadsheets/d/1XWAQStnk-4SwqDmLtmXYiTMKHgktTP8We1SCoS47DrQ/edit?usp=sharing"",""จัดที่ดิน!W56"")"),21)</f>
        <v>21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IFERROR(__xludf.DUMMYFUNCTION("IMPORTRANGE(""https://docs.google.com/spreadsheets/d/1QqKyyYR6Q21VydFLVH3TRQUabQu_ym0Zz7PgGX0-kHA/edit?usp=sharing"",""แผน!EO56"")"),3000)</f>
        <v>3000</v>
      </c>
      <c r="J359" s="264">
        <f ca="1">IFERROR(__xludf.DUMMYFUNCTION("IMPORTRANGE(""https://docs.google.com/spreadsheets/d/1XWAQStnk-4SwqDmLtmXYiTMKHgktTP8We1SCoS47DrQ/edit?usp=sharing"",""จัดที่ดิน!X56"")"),368.77)</f>
        <v>368.77</v>
      </c>
      <c r="K359" s="495">
        <f t="shared" ca="1" si="160"/>
        <v>12.292333333333334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IFERROR(__xludf.DUMMYFUNCTION("IMPORTRANGE(""https://docs.google.com/spreadsheets/d/1QqKyyYR6Q21VydFLVH3TRQUabQu_ym0Zz7PgGX0-kHA/edit?usp=sharing"",""แผน!EP56"")"),270)</f>
        <v>270</v>
      </c>
      <c r="J360" s="264">
        <f ca="1">IFERROR(__xludf.DUMMYFUNCTION("IMPORTRANGE(""https://docs.google.com/spreadsheets/d/1XWAQStnk-4SwqDmLtmXYiTMKHgktTP8We1SCoS47DrQ/edit?usp=sharing"",""จัดที่ดิน!Y56"")"),14)</f>
        <v>14</v>
      </c>
      <c r="K360" s="495">
        <f t="shared" ca="1" si="160"/>
        <v>5.1851851851851851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IFERROR(__xludf.DUMMYFUNCTION("IMPORTRANGE(""https://docs.google.com/spreadsheets/d/1XWAQStnk-4SwqDmLtmXYiTMKHgktTP8We1SCoS47DrQ/edit?usp=sharing"",""จัดที่ดิน!Z56"")"),342.99)</f>
        <v>342.99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IFERROR(__xludf.DUMMYFUNCTION("IMPORTRANGE(""https://docs.google.com/spreadsheets/d/1QqKyyYR6Q21VydFLVH3TRQUabQu_ym0Zz7PgGX0-kHA/edit?usp=sharing"",""แผน!EP56"")"),270)</f>
        <v>270</v>
      </c>
      <c r="J362" s="264">
        <f ca="1">IFERROR(__xludf.DUMMYFUNCTION("IMPORTRANGE(""https://docs.google.com/spreadsheets/d/1XWAQStnk-4SwqDmLtmXYiTMKHgktTP8We1SCoS47DrQ/edit?usp=sharing"",""จัดที่ดิน!AA56"")"),11)</f>
        <v>11</v>
      </c>
      <c r="K362" s="495">
        <f t="shared" ca="1" si="160"/>
        <v>4.0740740740740744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IFERROR(__xludf.DUMMYFUNCTION("IMPORTRANGE(""https://docs.google.com/spreadsheets/d/1XWAQStnk-4SwqDmLtmXYiTMKHgktTP8We1SCoS47DrQ/edit?usp=sharing"",""จัดที่ดิน!AB56"")"),207.13)</f>
        <v>207.13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420</v>
      </c>
      <c r="J364" s="476">
        <f t="shared" ca="1" si="161"/>
        <v>66</v>
      </c>
      <c r="K364" s="477">
        <f t="shared" ca="1" si="160"/>
        <v>15.714285714285714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IFERROR(__xludf.DUMMYFUNCTION("IMPORTRANGE(""https://docs.google.com/spreadsheets/d/1QqKyyYR6Q21VydFLVH3TRQUabQu_ym0Zz7PgGX0-kHA/edit?usp=sharing"",""แผน!EJ56"")"),200)</f>
        <v>200</v>
      </c>
      <c r="J365" s="488">
        <f ca="1">J372</f>
        <v>6</v>
      </c>
      <c r="K365" s="489">
        <f t="shared" ca="1" si="160"/>
        <v>3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IFERROR(__xludf.DUMMYFUNCTION("IMPORTRANGE(""https://docs.google.com/spreadsheets/d/1XWAQStnk-4SwqDmLtmXYiTMKHgktTP8We1SCoS47DrQ/edit?usp=sharing"",""จัดที่ดิน!E56"")"),15)</f>
        <v>15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IFERROR(__xludf.DUMMYFUNCTION("IMPORTRANGE(""https://docs.google.com/spreadsheets/d/1QqKyyYR6Q21VydFLVH3TRQUabQu_ym0Zz7PgGX0-kHA/edit?usp=sharing"",""แผน!EI56"")"),2000)</f>
        <v>2000</v>
      </c>
      <c r="J369" s="264">
        <f ca="1">IFERROR(__xludf.DUMMYFUNCTION("IMPORTRANGE(""https://docs.google.com/spreadsheets/d/1XWAQStnk-4SwqDmLtmXYiTMKHgktTP8We1SCoS47DrQ/edit?usp=sharing"",""จัดที่ดิน!F56"")"),262.48)</f>
        <v>262.48</v>
      </c>
      <c r="K369" s="495">
        <f t="shared" ca="1" si="162"/>
        <v>13.124000000000001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IFERROR(__xludf.DUMMYFUNCTION("IMPORTRANGE(""https://docs.google.com/spreadsheets/d/1QqKyyYR6Q21VydFLVH3TRQUabQu_ym0Zz7PgGX0-kHA/edit?usp=sharing"",""แผน!EJ56"")"),200)</f>
        <v>200</v>
      </c>
      <c r="J370" s="264">
        <f ca="1">IFERROR(__xludf.DUMMYFUNCTION("IMPORTRANGE(""https://docs.google.com/spreadsheets/d/1XWAQStnk-4SwqDmLtmXYiTMKHgktTP8We1SCoS47DrQ/edit?usp=sharing"",""จัดที่ดิน!G56"")"),8)</f>
        <v>8</v>
      </c>
      <c r="K370" s="495">
        <f t="shared" ca="1" si="162"/>
        <v>4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IFERROR(__xludf.DUMMYFUNCTION("IMPORTRANGE(""https://docs.google.com/spreadsheets/d/1XWAQStnk-4SwqDmLtmXYiTMKHgktTP8We1SCoS47DrQ/edit?usp=sharing"",""จัดที่ดิน!H56"")"),236.7)</f>
        <v>236.7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IFERROR(__xludf.DUMMYFUNCTION("IMPORTRANGE(""https://docs.google.com/spreadsheets/d/1QqKyyYR6Q21VydFLVH3TRQUabQu_ym0Zz7PgGX0-kHA/edit?usp=sharing"",""แผน!EJ56"")"),200)</f>
        <v>200</v>
      </c>
      <c r="J372" s="264">
        <f ca="1">IFERROR(__xludf.DUMMYFUNCTION("IMPORTRANGE(""https://docs.google.com/spreadsheets/d/1XWAQStnk-4SwqDmLtmXYiTMKHgktTP8We1SCoS47DrQ/edit?usp=sharing"",""จัดที่ดิน!I56"")"),6)</f>
        <v>6</v>
      </c>
      <c r="K372" s="495">
        <f t="shared" ca="1" si="162"/>
        <v>3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IFERROR(__xludf.DUMMYFUNCTION("IMPORTRANGE(""https://docs.google.com/spreadsheets/d/1XWAQStnk-4SwqDmLtmXYiTMKHgktTP8We1SCoS47DrQ/edit?usp=sharing"",""จัดที่ดิน!J56"")"),110.23)</f>
        <v>110.23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IFERROR(__xludf.DUMMYFUNCTION("IMPORTRANGE(""https://docs.google.com/spreadsheets/d/1QqKyyYR6Q21VydFLVH3TRQUabQu_ym0Zz7PgGX0-kHA/edit?usp=sharing"",""แผน!EU56"")"),220)</f>
        <v>220</v>
      </c>
      <c r="J374" s="488">
        <f ca="1">J381</f>
        <v>60</v>
      </c>
      <c r="K374" s="489">
        <f t="shared" ca="1" si="162"/>
        <v>27.272727272727273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IFERROR(__xludf.DUMMYFUNCTION("IMPORTRANGE(""https://docs.google.com/spreadsheets/d/1XWAQStnk-4SwqDmLtmXYiTMKHgktTP8We1SCoS47DrQ/edit?usp=sharing"",""จัดที่ดิน!AH56"")"),6)</f>
        <v>6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IFERROR(__xludf.DUMMYFUNCTION("IMPORTRANGE(""https://docs.google.com/spreadsheets/d/1QqKyyYR6Q21VydFLVH3TRQUabQu_ym0Zz7PgGX0-kHA/edit?usp=sharing"",""แผน!ET56"")"),1000)</f>
        <v>1000</v>
      </c>
      <c r="J378" s="264">
        <f ca="1">IFERROR(__xludf.DUMMYFUNCTION("IMPORTRANGE(""https://docs.google.com/spreadsheets/d/1XWAQStnk-4SwqDmLtmXYiTMKHgktTP8We1SCoS47DrQ/edit?usp=sharing"",""จัดที่ดิน!AI56"")"),106.29)</f>
        <v>106.29</v>
      </c>
      <c r="K378" s="495">
        <f t="shared" ca="1" si="163"/>
        <v>10.629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IFERROR(__xludf.DUMMYFUNCTION("IMPORTRANGE(""https://docs.google.com/spreadsheets/d/1QqKyyYR6Q21VydFLVH3TRQUabQu_ym0Zz7PgGX0-kHA/edit?usp=sharing"",""แผน!EU56"")"),220)</f>
        <v>220</v>
      </c>
      <c r="J379" s="264">
        <f ca="1">IFERROR(__xludf.DUMMYFUNCTION("IMPORTRANGE(""https://docs.google.com/spreadsheets/d/1XWAQStnk-4SwqDmLtmXYiTMKHgktTP8We1SCoS47DrQ/edit?usp=sharing"",""จัดที่ดิน!AJ56"")"),61)</f>
        <v>61</v>
      </c>
      <c r="K379" s="495">
        <f t="shared" ca="1" si="163"/>
        <v>27.727272727272727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IFERROR(__xludf.DUMMYFUNCTION("IMPORTRANGE(""https://docs.google.com/spreadsheets/d/1XWAQStnk-4SwqDmLtmXYiTMKHgktTP8We1SCoS47DrQ/edit?usp=sharing"",""จัดที่ดิน!AK56"")"),863.73)</f>
        <v>863.73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IFERROR(__xludf.DUMMYFUNCTION("IMPORTRANGE(""https://docs.google.com/spreadsheets/d/1QqKyyYR6Q21VydFLVH3TRQUabQu_ym0Zz7PgGX0-kHA/edit?usp=sharing"",""แผน!EU56"")"),220)</f>
        <v>220</v>
      </c>
      <c r="J381" s="264">
        <f ca="1">IFERROR(__xludf.DUMMYFUNCTION("IMPORTRANGE(""https://docs.google.com/spreadsheets/d/1XWAQStnk-4SwqDmLtmXYiTMKHgktTP8We1SCoS47DrQ/edit?usp=sharing"",""จัดที่ดิน!AL56"")"),60)</f>
        <v>60</v>
      </c>
      <c r="K381" s="495">
        <f t="shared" ca="1" si="163"/>
        <v>27.272727272727273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IFERROR(__xludf.DUMMYFUNCTION("IMPORTRANGE(""https://docs.google.com/spreadsheets/d/1XWAQStnk-4SwqDmLtmXYiTMKHgktTP8We1SCoS47DrQ/edit?usp=sharing"",""จัดที่ดิน!AM56"")"),854.34)</f>
        <v>854.34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IFERROR(__xludf.DUMMYFUNCTION("IMPORTRANGE(""https://docs.google.com/spreadsheets/d/1QqKyyYR6Q21VydFLVH3TRQUabQu_ym0Zz7PgGX0-kHA/edit?usp=sharing"",""แผน!EW56"")"),60)</f>
        <v>60</v>
      </c>
      <c r="J385" s="498">
        <f ca="1">IFERROR(__xludf.DUMMYFUNCTION("IMPORTRANGE(""https://docs.google.com/spreadsheets/d/1XWAQStnk-4SwqDmLtmXYiTMKHgktTP8We1SCoS47DrQ/edit?usp=sharing"",""จัดที่ดิน!AP56"")"),0)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IFERROR(__xludf.DUMMYFUNCTION("IMPORTRANGE(""https://docs.google.com/spreadsheets/d/1MeEWN-I1oV_STSDYn1IFDPWt_1FKiwhDph83XaGc0o0/edit?usp=sharing"",""งบพรบ!FG56"")"),0)</f>
        <v>0</v>
      </c>
      <c r="M394" s="90">
        <f ca="1">IFERROR(__xludf.DUMMYFUNCTION("IMPORTRANGE(""https://docs.google.com/spreadsheets/d/1MeEWN-I1oV_STSDYn1IFDPWt_1FKiwhDph83XaGc0o0/edit?usp=sharing"",""งบพรบ!FL56"")"),0)</f>
        <v>0</v>
      </c>
      <c r="N394" s="90">
        <f ca="1">IFERROR(__xludf.DUMMYFUNCTION("IMPORTRANGE(""https://docs.google.com/spreadsheets/d/1MeEWN-I1oV_STSDYn1IFDPWt_1FKiwhDph83XaGc0o0/edit?usp=sharing"",""งบพรบ!FN56"")"),0)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IFERROR(__xludf.DUMMYFUNCTION("IMPORTRANGE(""https://docs.google.com/spreadsheets/d/1MeEWN-I1oV_STSDYn1IFDPWt_1FKiwhDph83XaGc0o0/edit?usp=sharing"",""งบพรบ!FJ56"")"),0)</f>
        <v>0</v>
      </c>
      <c r="M397" s="90">
        <f ca="1">IFERROR(__xludf.DUMMYFUNCTION("IMPORTRANGE(""https://docs.google.com/spreadsheets/d/1MeEWN-I1oV_STSDYn1IFDPWt_1FKiwhDph83XaGc0o0/edit?usp=sharing"",""งบพรบ!FM56"")"),0)</f>
        <v>0</v>
      </c>
      <c r="N397" s="90">
        <f ca="1">IFERROR(__xludf.DUMMYFUNCTION("IMPORTRANGE(""https://docs.google.com/spreadsheets/d/1MeEWN-I1oV_STSDYn1IFDPWt_1FKiwhDph83XaGc0o0/edit?usp=sharing"",""งบพรบ!FO56"")"),0)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IFERROR(__xludf.DUMMYFUNCTION("IMPORTRANGE(""https://docs.google.com/spreadsheets/d/1MeEWN-I1oV_STSDYn1IFDPWt_1FKiwhDph83XaGc0o0/edit?usp=sharing"",""งบพรบ!FQ56"")"),0)</f>
        <v>0</v>
      </c>
      <c r="M407" s="90">
        <f ca="1">IFERROR(__xludf.DUMMYFUNCTION("IMPORTRANGE(""https://docs.google.com/spreadsheets/d/1MeEWN-I1oV_STSDYn1IFDPWt_1FKiwhDph83XaGc0o0/edit?usp=sharing"",""งบพรบ!FV56"")"),0)</f>
        <v>0</v>
      </c>
      <c r="N407" s="90">
        <f ca="1">IFERROR(__xludf.DUMMYFUNCTION("IMPORTRANGE(""https://docs.google.com/spreadsheets/d/1MeEWN-I1oV_STSDYn1IFDPWt_1FKiwhDph83XaGc0o0/edit?usp=sharing"",""งบพรบ!FX56"")"),0)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IFERROR(__xludf.DUMMYFUNCTION("IMPORTRANGE(""https://docs.google.com/spreadsheets/d/1MeEWN-I1oV_STSDYn1IFDPWt_1FKiwhDph83XaGc0o0/edit?usp=sharing"",""งบพรบ!FT56"")"),0)</f>
        <v>0</v>
      </c>
      <c r="M410" s="90">
        <f ca="1">IFERROR(__xludf.DUMMYFUNCTION("IMPORTRANGE(""https://docs.google.com/spreadsheets/d/1MeEWN-I1oV_STSDYn1IFDPWt_1FKiwhDph83XaGc0o0/edit?usp=sharing"",""งบพรบ!FW56"")"),0)</f>
        <v>0</v>
      </c>
      <c r="N410" s="90">
        <f ca="1">IFERROR(__xludf.DUMMYFUNCTION("IMPORTRANGE(""https://docs.google.com/spreadsheets/d/1MeEWN-I1oV_STSDYn1IFDPWt_1FKiwhDph83XaGc0o0/edit?usp=sharing"",""งบพรบ!FY56"")"),0)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1362418</v>
      </c>
      <c r="M414" s="546">
        <f t="shared" si="180"/>
        <v>0</v>
      </c>
      <c r="N414" s="546">
        <f t="shared" si="180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20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78660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78660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78660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IFERROR(__xludf.DUMMYFUNCTION("IMPORTRANGE(""https://docs.google.com/spreadsheets/d/1QqKyyYR6Q21VydFLVH3TRQUabQu_ym0Zz7PgGX0-kHA/edit?usp=sharing"",""แผน!EY56"")"),78660)</f>
        <v>78660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IFERROR(__xludf.DUMMYFUNCTION("IMPORTRANGE(""https://docs.google.com/spreadsheets/d/1QqKyyYR6Q21VydFLVH3TRQUabQu_ym0Zz7PgGX0-kHA/edit?usp=sharing"",""แผน!FB56"")"),0)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20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IFERROR(__xludf.DUMMYFUNCTION("IMPORTRANGE(""https://docs.google.com/spreadsheets/d/1QqKyyYR6Q21VydFLVH3TRQUabQu_ym0Zz7PgGX0-kHA/edit?usp=sharing"",""แผน!FC56"")"),20)</f>
        <v>20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IFERROR(__xludf.DUMMYFUNCTION("IMPORTRANGE(""https://docs.google.com/spreadsheets/d/1QqKyyYR6Q21VydFLVH3TRQUabQu_ym0Zz7PgGX0-kHA/edit?usp=sharing"",""แผน!FD56"")"),0)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IFERROR(__xludf.DUMMYFUNCTION("IMPORTRANGE(""https://docs.google.com/spreadsheets/d/1QqKyyYR6Q21VydFLVH3TRQUabQu_ym0Zz7PgGX0-kHA/edit?usp=sharing"",""แผน!FE56"")"),0)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IFERROR(__xludf.DUMMYFUNCTION("IMPORTRANGE(""https://docs.google.com/spreadsheets/d/1QqKyyYR6Q21VydFLVH3TRQUabQu_ym0Zz7PgGX0-kHA/edit?usp=sharing"",""แผน!FF56"")"),20)</f>
        <v>20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IFERROR(__xludf.DUMMYFUNCTION("IMPORTRANGE(""https://docs.google.com/spreadsheets/d/1QqKyyYR6Q21VydFLVH3TRQUabQu_ym0Zz7PgGX0-kHA/edit?usp=sharing"",""แผน!FG56"")"),1)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IFERROR(__xludf.DUMMYFUNCTION("IMPORTRANGE(""https://docs.google.com/spreadsheets/d/1QqKyyYR6Q21VydFLVH3TRQUabQu_ym0Zz7PgGX0-kHA/edit?usp=sharing"",""แผน!FH56"")"),0)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15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15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68160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68160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68160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IFERROR(__xludf.DUMMYFUNCTION("IMPORTRANGE(""https://docs.google.com/spreadsheets/d/1QqKyyYR6Q21VydFLVH3TRQUabQu_ym0Zz7PgGX0-kHA/edit?usp=sharing"",""แผน!FJ56"")"),68160)</f>
        <v>68160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IFERROR(__xludf.DUMMYFUNCTION("IMPORTRANGE(""https://docs.google.com/spreadsheets/d/1QqKyyYR6Q21VydFLVH3TRQUabQu_ym0Zz7PgGX0-kHA/edit?usp=sharing"",""แผน!FM56"")"),0)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IFERROR(__xludf.DUMMYFUNCTION("IMPORTRANGE(""https://docs.google.com/spreadsheets/d/1QqKyyYR6Q21VydFLVH3TRQUabQu_ym0Zz7PgGX0-kHA/edit?usp=sharing"",""แผน!FN56"")"),15)</f>
        <v>15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IFERROR(__xludf.DUMMYFUNCTION("IMPORTRANGE(""https://docs.google.com/spreadsheets/d/1QqKyyYR6Q21VydFLVH3TRQUabQu_ym0Zz7PgGX0-kHA/edit?usp=sharing"",""แผน!FO56"")"),15)</f>
        <v>15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IFERROR(__xludf.DUMMYFUNCTION("IMPORTRANGE(""https://docs.google.com/spreadsheets/d/1QqKyyYR6Q21VydFLVH3TRQUabQu_ym0Zz7PgGX0-kHA/edit?usp=sharing"",""แผน!FO56"")"),15)</f>
        <v>15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IFERROR(__xludf.DUMMYFUNCTION("IMPORTRANGE(""https://docs.google.com/spreadsheets/d/1QqKyyYR6Q21VydFLVH3TRQUabQu_ym0Zz7PgGX0-kHA/edit?usp=sharing"",""แผน!FN56"")"),15)</f>
        <v>15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IFERROR(__xludf.DUMMYFUNCTION("IMPORTRANGE(""https://docs.google.com/spreadsheets/d/1QqKyyYR6Q21VydFLVH3TRQUabQu_ym0Zz7PgGX0-kHA/edit?usp=sharing"",""แผน!FX56"")"),41)</f>
        <v>41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IFERROR(__xludf.DUMMYFUNCTION("IMPORTRANGE(""https://docs.google.com/spreadsheets/d/1QqKyyYR6Q21VydFLVH3TRQUabQu_ym0Zz7PgGX0-kHA/edit?usp=sharing"",""แผน!FW56"")"),400)</f>
        <v>400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327863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327863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327863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IFERROR(__xludf.DUMMYFUNCTION("IMPORTRANGE(""https://docs.google.com/spreadsheets/d/1QqKyyYR6Q21VydFLVH3TRQUabQu_ym0Zz7PgGX0-kHA/edit?usp=sharing"",""แผน!FS56"")"),327863)</f>
        <v>327863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IFERROR(__xludf.DUMMYFUNCTION("IMPORTRANGE(""https://docs.google.com/spreadsheets/d/1QqKyyYR6Q21VydFLVH3TRQUabQu_ym0Zz7PgGX0-kHA/edit?usp=sharing"",""แผน!FV56"")"),0)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IFERROR(__xludf.DUMMYFUNCTION("IMPORTRANGE(""https://docs.google.com/spreadsheets/d/1QqKyyYR6Q21VydFLVH3TRQUabQu_ym0Zz7PgGX0-kHA/edit?usp=sharing"",""แผน!FY56"")"),360)</f>
        <v>360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IFERROR(__xludf.DUMMYFUNCTION("IMPORTRANGE(""https://docs.google.com/spreadsheets/d/1QqKyyYR6Q21VydFLVH3TRQUabQu_ym0Zz7PgGX0-kHA/edit?usp=sharing"",""แผน!FZ56"")"),36)</f>
        <v>36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IFERROR(__xludf.DUMMYFUNCTION("IMPORTRANGE(""https://docs.google.com/spreadsheets/d/1QqKyyYR6Q21VydFLVH3TRQUabQu_ym0Zz7PgGX0-kHA/edit?usp=sharing"",""แผน!GA56"")"),40)</f>
        <v>40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IFERROR(__xludf.DUMMYFUNCTION("IMPORTRANGE(""https://docs.google.com/spreadsheets/d/1QqKyyYR6Q21VydFLVH3TRQUabQu_ym0Zz7PgGX0-kHA/edit?usp=sharing"",""แผน!GB56"")"),4)</f>
        <v>4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IFERROR(__xludf.DUMMYFUNCTION("IMPORTRANGE(""https://docs.google.com/spreadsheets/d/1QqKyyYR6Q21VydFLVH3TRQUabQu_ym0Zz7PgGX0-kHA/edit?usp=sharing"",""แผน!GC56"")"),1)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IFERROR(__xludf.DUMMYFUNCTION("IMPORTRANGE(""https://docs.google.com/spreadsheets/d/1QqKyyYR6Q21VydFLVH3TRQUabQu_ym0Zz7PgGX0-kHA/edit?usp=sharing"",""แผน!FY56"")"),360)</f>
        <v>360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IFERROR(__xludf.DUMMYFUNCTION("IMPORTRANGE(""https://docs.google.com/spreadsheets/d/1QqKyyYR6Q21VydFLVH3TRQUabQu_ym0Zz7PgGX0-kHA/edit?usp=sharing"",""แผน!GA56"")"),40)</f>
        <v>40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50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427460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427460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427460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IFERROR(__xludf.DUMMYFUNCTION("IMPORTRANGE(""https://docs.google.com/spreadsheets/d/1QqKyyYR6Q21VydFLVH3TRQUabQu_ym0Zz7PgGX0-kHA/edit?usp=sharing"",""แผน!GQ56"")"),427460)</f>
        <v>427460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IFERROR(__xludf.DUMMYFUNCTION("IMPORTRANGE(""https://docs.google.com/spreadsheets/d/1QqKyyYR6Q21VydFLVH3TRQUabQu_ym0Zz7PgGX0-kHA/edit?usp=sharing"",""แผน!GT56"")"),0)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IFERROR(__xludf.DUMMYFUNCTION("IMPORTRANGE(""https://docs.google.com/spreadsheets/d/1QqKyyYR6Q21VydFLVH3TRQUabQu_ym0Zz7PgGX0-kHA/edit?usp=sharing"",""แผน!GU56"")"),50)</f>
        <v>50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IFERROR(__xludf.DUMMYFUNCTION("IMPORTRANGE(""https://docs.google.com/spreadsheets/d/1QqKyyYR6Q21VydFLVH3TRQUabQu_ym0Zz7PgGX0-kHA/edit?usp=sharing"",""แผน!GV56"")"),50)</f>
        <v>50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IFERROR(__xludf.DUMMYFUNCTION("IMPORTRANGE(""https://docs.google.com/spreadsheets/d/1QqKyyYR6Q21VydFLVH3TRQUabQu_ym0Zz7PgGX0-kHA/edit?usp=sharing"",""แผน!GW56"")"),0)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IFERROR(__xludf.DUMMYFUNCTION("IMPORTRANGE(""https://docs.google.com/spreadsheets/d/1QqKyyYR6Q21VydFLVH3TRQUabQu_ym0Zz7PgGX0-kHA/edit?usp=sharing"",""แผน!GX56"")"),0)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IFERROR(__xludf.DUMMYFUNCTION("IMPORTRANGE(""https://docs.google.com/spreadsheets/d/1QqKyyYR6Q21VydFLVH3TRQUabQu_ym0Zz7PgGX0-kHA/edit?usp=sharing"",""แผน!GY56"")"),50)</f>
        <v>50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IFERROR(__xludf.DUMMYFUNCTION("IMPORTRANGE(""https://docs.google.com/spreadsheets/d/1QqKyyYR6Q21VydFLVH3TRQUabQu_ym0Zz7PgGX0-kHA/edit?usp=sharing"",""แผน!GZ56"")"),50)</f>
        <v>50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289100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289100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289100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IFERROR(__xludf.DUMMYFUNCTION("IMPORTRANGE(""https://docs.google.com/spreadsheets/d/1QqKyyYR6Q21VydFLVH3TRQUabQu_ym0Zz7PgGX0-kHA/edit?usp=sharing"",""แผน!HB56"")"),289100)</f>
        <v>289100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IFERROR(__xludf.DUMMYFUNCTION("IMPORTRANGE(""https://docs.google.com/spreadsheets/d/1QqKyyYR6Q21VydFLVH3TRQUabQu_ym0Zz7PgGX0-kHA/edit?usp=sharing"",""แผน!HF56"")"),0)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IFERROR(__xludf.DUMMYFUNCTION("IMPORTRANGE(""https://docs.google.com/spreadsheets/d/1QqKyyYR6Q21VydFLVH3TRQUabQu_ym0Zz7PgGX0-kHA/edit?usp=sharing"",""แผน!HH56"")"),0)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IFERROR(__xludf.DUMMYFUNCTION("IMPORTRANGE(""https://docs.google.com/spreadsheets/d/1QqKyyYR6Q21VydFLVH3TRQUabQu_ym0Zz7PgGX0-kHA/edit?usp=sharing"",""แผน!HG56"")"),0)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IFERROR(__xludf.DUMMYFUNCTION("IMPORTRANGE(""https://docs.google.com/spreadsheets/d/1QqKyyYR6Q21VydFLVH3TRQUabQu_ym0Zz7PgGX0-kHA/edit?usp=sharing"",""แผน!HH56"")"),0)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IFERROR(__xludf.DUMMYFUNCTION("IMPORTRANGE(""https://docs.google.com/spreadsheets/d/1QqKyyYR6Q21VydFLVH3TRQUabQu_ym0Zz7PgGX0-kHA/edit?usp=sharing"",""แผน!HG56"")"),0)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IFERROR(__xludf.DUMMYFUNCTION("IMPORTRANGE(""https://docs.google.com/spreadsheets/d/1QqKyyYR6Q21VydFLVH3TRQUabQu_ym0Zz7PgGX0-kHA/edit?usp=sharing"",""แผน!HH56"")"),0)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IFERROR(__xludf.DUMMYFUNCTION("IMPORTRANGE(""https://docs.google.com/spreadsheets/d/1QqKyyYR6Q21VydFLVH3TRQUabQu_ym0Zz7PgGX0-kHA/edit?usp=sharing"",""แผน!HG56"")"),0)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3810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IFERROR(__xludf.DUMMYFUNCTION("IMPORTRANGE(""https://docs.google.com/spreadsheets/d/1QqKyyYR6Q21VydFLVH3TRQUabQu_ym0Zz7PgGX0-kHA/edit?usp=sharing"",""แผน!HJ56"")"),3810)</f>
        <v>3810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IFERROR(__xludf.DUMMYFUNCTION("IMPORTRANGE(""https://docs.google.com/spreadsheets/d/1QqKyyYR6Q21VydFLVH3TRQUabQu_ym0Zz7PgGX0-kHA/edit?usp=sharing"",""แผน!HI56"")"),257)</f>
        <v>257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IFERROR(__xludf.DUMMYFUNCTION("IMPORTRANGE(""https://docs.google.com/spreadsheets/d/1QqKyyYR6Q21VydFLVH3TRQUabQu_ym0Zz7PgGX0-kHA/edit?usp=sharing"",""แผน!HL56"")"),0)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IFERROR(__xludf.DUMMYFUNCTION("IMPORTRANGE(""https://docs.google.com/spreadsheets/d/1QqKyyYR6Q21VydFLVH3TRQUabQu_ym0Zz7PgGX0-kHA/edit?usp=sharing"",""แผน!HK56"")"),0)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50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171175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171175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171175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IFERROR(__xludf.DUMMYFUNCTION("IMPORTRANGE(""https://docs.google.com/spreadsheets/d/1QqKyyYR6Q21VydFLVH3TRQUabQu_ym0Zz7PgGX0-kHA/edit?usp=sharing"",""แผน!HN56"")"),171175)</f>
        <v>171175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IFERROR(__xludf.DUMMYFUNCTION("IMPORTRANGE(""https://docs.google.com/spreadsheets/d/1QqKyyYR6Q21VydFLVH3TRQUabQu_ym0Zz7PgGX0-kHA/edit?usp=sharing"",""แผน!HQ56"")"),0)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IFERROR(__xludf.DUMMYFUNCTION("IMPORTRANGE(""https://docs.google.com/spreadsheets/d/1QqKyyYR6Q21VydFLVH3TRQUabQu_ym0Zz7PgGX0-kHA/edit?usp=sharing"",""แผน!HR56"")"),0)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IFERROR(__xludf.DUMMYFUNCTION("IMPORTRANGE(""https://docs.google.com/spreadsheets/d/1QqKyyYR6Q21VydFLVH3TRQUabQu_ym0Zz7PgGX0-kHA/edit?usp=sharing"",""แผน!HR56"")"),0)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IFERROR(__xludf.DUMMYFUNCTION("IMPORTRANGE(""https://docs.google.com/spreadsheets/d/1XWAQStnk-4SwqDmLtmXYiTMKHgktTP8We1SCoS47DrQ/edit?usp=sharing"",""จัดที่ดิน!AS56"")"),1)</f>
        <v>1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IFERROR(__xludf.DUMMYFUNCTION("IMPORTRANGE(""https://docs.google.com/spreadsheets/d/1XWAQStnk-4SwqDmLtmXYiTMKHgktTP8We1SCoS47DrQ/edit?usp=sharing"",""จัดที่ดิน!AT56"")"),0.59)</f>
        <v>0.59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IFERROR(__xludf.DUMMYFUNCTION("IMPORTRANGE(""https://docs.google.com/spreadsheets/d/1QqKyyYR6Q21VydFLVH3TRQUabQu_ym0Zz7PgGX0-kHA/edit?usp=sharing"",""แผน!HS56"")"),50)</f>
        <v>50</v>
      </c>
      <c r="J647" s="264">
        <f ca="1">IFERROR(__xludf.DUMMYFUNCTION("IMPORTRANGE(""https://docs.google.com/spreadsheets/d/1XWAQStnk-4SwqDmLtmXYiTMKHgktTP8We1SCoS47DrQ/edit?usp=sharing"",""จัดที่ดิน!AU56"")"),5)</f>
        <v>5</v>
      </c>
      <c r="K647" s="159">
        <f t="shared" ca="1" si="270"/>
        <v>10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IFERROR(__xludf.DUMMYFUNCTION("IMPORTRANGE(""https://docs.google.com/spreadsheets/d/1XWAQStnk-4SwqDmLtmXYiTMKHgktTP8We1SCoS47DrQ/edit?usp=sharing"",""จัดที่ดิน!AV56"")"),2.64)</f>
        <v>2.64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IFERROR(__xludf.DUMMYFUNCTION("IMPORTRANGE(""https://docs.google.com/spreadsheets/d/1QqKyyYR6Q21VydFLVH3TRQUabQu_ym0Zz7PgGX0-kHA/edit?usp=sharing"",""แผน!HS56"")"),50)</f>
        <v>50</v>
      </c>
      <c r="J649" s="264">
        <f ca="1">IFERROR(__xludf.DUMMYFUNCTION("IMPORTRANGE(""https://docs.google.com/spreadsheets/d/1XWAQStnk-4SwqDmLtmXYiTMKHgktTP8We1SCoS47DrQ/edit?usp=sharing"",""จัดที่ดิน!AW56"")"),0)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IFERROR(__xludf.DUMMYFUNCTION("IMPORTRANGE(""https://docs.google.com/spreadsheets/d/1XWAQStnk-4SwqDmLtmXYiTMKHgktTP8We1SCoS47DrQ/edit?usp=sharing"",""จัดที่ดิน!AX56"")"),0)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IFERROR(__xludf.DUMMYFUNCTION("IMPORTRANGE(""https://docs.google.com/spreadsheets/d/1QqKyyYR6Q21VydFLVH3TRQUabQu_ym0Zz7PgGX0-kHA/edit?usp=sharing"",""แผน!HS56"")"),50)</f>
        <v>50</v>
      </c>
      <c r="J651" s="264">
        <f ca="1">IFERROR(__xludf.DUMMYFUNCTION("IMPORTRANGE(""https://docs.google.com/spreadsheets/d/1XWAQStnk-4SwqDmLtmXYiTMKHgktTP8We1SCoS47DrQ/edit?usp=sharing"",""จัดที่ดิน!AY56"")"),0)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IFERROR(__xludf.DUMMYFUNCTION("IMPORTRANGE(""https://docs.google.com/spreadsheets/d/1XWAQStnk-4SwqDmLtmXYiTMKHgktTP8We1SCoS47DrQ/edit?usp=sharing"",""จัดที่ดิน!AZ56"")"),0)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 hidden="1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 hidden="1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 hidden="1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 hidden="1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IFERROR(__xludf.DUMMYFUNCTION("IMPORTRANGE(""https://docs.google.com/spreadsheets/d/1QqKyyYR6Q21VydFLVH3TRQUabQu_ym0Zz7PgGX0-kHA/edit?usp=sharing"",""แผน!HV56"")"),0)</f>
        <v>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 hidden="1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 hidden="1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 hidden="1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 hidden="1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 hidden="1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 hidden="1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 hidden="1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IFERROR(__xludf.DUMMYFUNCTION("IMPORTRANGE(""https://docs.google.com/spreadsheets/d/1QqKyyYR6Q21VydFLVH3TRQUabQu_ym0Zz7PgGX0-kHA/edit?usp=sharing"",""แผน!IA56"")"),0)</f>
        <v>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 hidden="1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IFERROR(__xludf.DUMMYFUNCTION("IMPORTRANGE(""https://docs.google.com/spreadsheets/d/1QqKyyYR6Q21VydFLVH3TRQUabQu_ym0Zz7PgGX0-kHA/edit?usp=sharing"",""แผน!HZ56"")"),0)</f>
        <v>0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 hidden="1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IFERROR(__xludf.DUMMYFUNCTION("IMPORTRANGE(""https://docs.google.com/spreadsheets/d/1QqKyyYR6Q21VydFLVH3TRQUabQu_ym0Zz7PgGX0-kHA/edit?usp=sharing"",""แผน!HZ56"")"),0)</f>
        <v>0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 hidden="1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 hidden="1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 hidden="1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 hidden="1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 hidden="1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 hidden="1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 hidden="1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IFERROR(__xludf.DUMMYFUNCTION("IMPORTRANGE(""https://docs.google.com/spreadsheets/d/1QqKyyYR6Q21VydFLVH3TRQUabQu_ym0Zz7PgGX0-kHA/edit?usp=sharing"",""แผน!IB56"")"),0)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 hidden="1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 hidden="1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 hidden="1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 hidden="1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 hidden="1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 hidden="1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 hidden="1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 hidden="1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IFERROR(__xludf.DUMMYFUNCTION("IMPORTRANGE(""https://docs.google.com/spreadsheets/d/1QqKyyYR6Q21VydFLVH3TRQUabQu_ym0Zz7PgGX0-kHA/edit?usp=sharing"",""แผน!HW56"")"),0)</f>
        <v>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 hidden="1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 hidden="1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 hidden="1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 hidden="1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 hidden="1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 hidden="1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 hidden="1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IFERROR(__xludf.DUMMYFUNCTION("IMPORTRANGE(""https://docs.google.com/spreadsheets/d/1QqKyyYR6Q21VydFLVH3TRQUabQu_ym0Zz7PgGX0-kHA/edit?usp=sharing"",""แผน!IC56"")"),0)</f>
        <v>0</v>
      </c>
      <c r="J699" s="264">
        <f ca="1">IFERROR(__xludf.DUMMYFUNCTION("IMPORTRANGE(""https://docs.google.com/spreadsheets/d/1XWAQStnk-4SwqDmLtmXYiTMKHgktTP8We1SCoS47DrQ/edit?usp=sharing"",""จัดที่ดิน!BB56"")"),0)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 hidden="1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IFERROR(__xludf.DUMMYFUNCTION("IMPORTRANGE(""https://docs.google.com/spreadsheets/d/1QqKyyYR6Q21VydFLVH3TRQUabQu_ym0Zz7PgGX0-kHA/edit?usp=sharing"",""แผน!ID56"")"),0)</f>
        <v>0</v>
      </c>
      <c r="J700" s="264">
        <f ca="1">IFERROR(__xludf.DUMMYFUNCTION("IMPORTRANGE(""https://docs.google.com/spreadsheets/d/1XWAQStnk-4SwqDmLtmXYiTMKHgktTP8We1SCoS47DrQ/edit?usp=sharing"",""จัดที่ดิน!BD56"")"),0)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 hidden="1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IFERROR(__xludf.DUMMYFUNCTION("IMPORTRANGE(""https://docs.google.com/spreadsheets/d/1QqKyyYR6Q21VydFLVH3TRQUabQu_ym0Zz7PgGX0-kHA/edit?usp=sharing"",""แผน!IE56"")"),0)</f>
        <v>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 hidden="1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 hidden="1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 hidden="1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IFERROR(__xludf.DUMMYFUNCTION("IMPORTRANGE(""https://docs.google.com/spreadsheets/d/1QqKyyYR6Q21VydFLVH3TRQUabQu_ym0Zz7PgGX0-kHA/edit?usp=sharing"",""แผน!IF56"")"),0)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 hidden="1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 hidden="1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 hidden="1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IFERROR(__xludf.DUMMYFUNCTION("IMPORTRANGE(""https://docs.google.com/spreadsheets/d/1QqKyyYR6Q21VydFLVH3TRQUabQu_ym0Zz7PgGX0-kHA/edit?usp=sharing"",""แผน!IG56"")"),0)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 hidden="1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IFERROR(__xludf.DUMMYFUNCTION("IMPORTRANGE(""https://docs.google.com/spreadsheets/d/1QqKyyYR6Q21VydFLVH3TRQUabQu_ym0Zz7PgGX0-kHA/edit?usp=sharing"",""แผน!IH56"")"),0)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 hidden="1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 hidden="1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 hidden="1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 hidden="1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 hidden="1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 hidden="1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 hidden="1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 hidden="1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 hidden="1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 hidden="1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IFERROR(__xludf.DUMMYFUNCTION("IMPORTRANGE(""https://docs.google.com/spreadsheets/d/1XWAQStnk-4SwqDmLtmXYiTMKHgktTP8We1SCoS47DrQ/edit?usp=sharing"",""จัดที่ดิน!BF56"")"),0)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 hidden="1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IFERROR(__xludf.DUMMYFUNCTION("IMPORTRANGE(""https://docs.google.com/spreadsheets/d/1XWAQStnk-4SwqDmLtmXYiTMKHgktTP8We1SCoS47DrQ/edit?usp=sharing"",""จัดที่ดิน!BG56"")"),0)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 hidden="1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IFERROR(__xludf.DUMMYFUNCTION("IMPORTRANGE(""https://docs.google.com/spreadsheets/d/1QqKyyYR6Q21VydFLVH3TRQUabQu_ym0Zz7PgGX0-kHA/edit?usp=sharing"",""แผน!II56"")"),0)</f>
        <v>0</v>
      </c>
      <c r="J720" s="264">
        <f ca="1">IFERROR(__xludf.DUMMYFUNCTION("IMPORTRANGE(""https://docs.google.com/spreadsheets/d/1XWAQStnk-4SwqDmLtmXYiTMKHgktTP8We1SCoS47DrQ/edit?usp=sharing"",""จัดที่ดิน!BH56"")"),0)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 hidden="1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IFERROR(__xludf.DUMMYFUNCTION("IMPORTRANGE(""https://docs.google.com/spreadsheets/d/1QqKyyYR6Q21VydFLVH3TRQUabQu_ym0Zz7PgGX0-kHA/edit?usp=sharing"",""แผน!IJ56"")"),0)</f>
        <v>0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 hidden="1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IFERROR(__xludf.DUMMYFUNCTION("IMPORTRANGE(""https://docs.google.com/spreadsheets/d/1QqKyyYR6Q21VydFLVH3TRQUabQu_ym0Zz7PgGX0-kHA/edit?usp=sharing"",""แผน!IK56"")"),0)</f>
        <v>0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 hidden="1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IFERROR(__xludf.DUMMYFUNCTION("IMPORTRANGE(""https://docs.google.com/spreadsheets/d/1QqKyyYR6Q21VydFLVH3TRQUabQu_ym0Zz7PgGX0-kHA/edit?usp=sharing"",""แผน!IL56"")"),0)</f>
        <v>0</v>
      </c>
      <c r="J723" s="264">
        <f ca="1">IFERROR(__xludf.DUMMYFUNCTION("IMPORTRANGE(""https://docs.google.com/spreadsheets/d/1XWAQStnk-4SwqDmLtmXYiTMKHgktTP8We1SCoS47DrQ/edit?usp=sharing"",""จัดที่ดิน!BM56"")"),0)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 hidden="1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IFERROR(__xludf.DUMMYFUNCTION("IMPORTRANGE(""https://docs.google.com/spreadsheets/d/1XWAQStnk-4SwqDmLtmXYiTMKHgktTP8We1SCoS47DrQ/edit?usp=sharing"",""จัดที่ดิน!BN56"")"),0)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 hidden="1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IFERROR(__xludf.DUMMYFUNCTION("IMPORTRANGE(""https://docs.google.com/spreadsheets/d/1QqKyyYR6Q21VydFLVH3TRQUabQu_ym0Zz7PgGX0-kHA/edit?usp=sharing"",""แผน!IM56"")"),0)</f>
        <v>0</v>
      </c>
      <c r="J725" s="264">
        <f ca="1">IFERROR(__xludf.DUMMYFUNCTION("IMPORTRANGE(""https://docs.google.com/spreadsheets/d/1XWAQStnk-4SwqDmLtmXYiTMKHgktTP8We1SCoS47DrQ/edit?usp=sharing"",""จัดที่ดิน!BO56"")"),0)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 hidden="1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IFERROR(__xludf.DUMMYFUNCTION("IMPORTRANGE(""https://docs.google.com/spreadsheets/d/1QqKyyYR6Q21VydFLVH3TRQUabQu_ym0Zz7PgGX0-kHA/edit?usp=sharing"",""แผน!IN56"")"),0)</f>
        <v>0</v>
      </c>
      <c r="J726" s="264">
        <f ca="1">IFERROR(__xludf.DUMMYFUNCTION("IMPORTRANGE(""https://docs.google.com/spreadsheets/d/1XWAQStnk-4SwqDmLtmXYiTMKHgktTP8We1SCoS47DrQ/edit?usp=sharing"",""จัดที่ดิน!BR56"")"),0)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 hidden="1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IFERROR(__xludf.DUMMYFUNCTION("IMPORTRANGE(""https://docs.google.com/spreadsheets/d/1XWAQStnk-4SwqDmLtmXYiTMKHgktTP8We1SCoS47DrQ/edit?usp=sharing"",""จัดที่ดิน!BS56"")"),0)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 hidden="1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IFERROR(__xludf.DUMMYFUNCTION("IMPORTRANGE(""https://docs.google.com/spreadsheets/d/1QqKyyYR6Q21VydFLVH3TRQUabQu_ym0Zz7PgGX0-kHA/edit?usp=sharing"",""แผน!IO56"")"),0)</f>
        <v>0</v>
      </c>
      <c r="J728" s="264">
        <f ca="1">IFERROR(__xludf.DUMMYFUNCTION("IMPORTRANGE(""https://docs.google.com/spreadsheets/d/1XWAQStnk-4SwqDmLtmXYiTMKHgktTP8We1SCoS47DrQ/edit?usp=sharing"",""จัดที่ดิน!BT56"")"),0)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 hidden="1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IFERROR(__xludf.DUMMYFUNCTION("IMPORTRANGE(""https://docs.google.com/spreadsheets/d/1QqKyyYR6Q21VydFLVH3TRQUabQu_ym0Zz7PgGX0-kHA/edit?usp=sharing"",""แผน!IP56"")"),0)</f>
        <v>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 hidden="1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 hidden="1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 hidden="1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 hidden="1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 hidden="1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 hidden="1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IFERROR(__xludf.DUMMYFUNCTION("IMPORTRANGE(""https://docs.google.com/spreadsheets/d/1QqKyyYR6Q21VydFLVH3TRQUabQu_ym0Zz7PgGX0-kHA/edit?usp=sharing"",""แผน!JJ56"")"),0)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IFERROR(__xludf.DUMMYFUNCTION("IMPORTRANGE(""https://docs.google.com/spreadsheets/d/1QqKyyYR6Q21VydFLVH3TRQUabQu_ym0Zz7PgGX0-kHA/edit?usp=sharing"",""แผน!JN56"")"),0)</f>
        <v>0</v>
      </c>
      <c r="J800" s="180">
        <f ca="1">IFERROR(__xludf.DUMMYFUNCTION("IMPORTRANGE(""https://docs.google.com/spreadsheets/d/1MaWodYyGHDf7siQLGxnXhG4mBNTNIuy296niS2xXulU/edit?usp=sharing"",""RTK!H56"")"),0)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IFERROR(__xludf.DUMMYFUNCTION("IMPORTRANGE(""https://docs.google.com/spreadsheets/d/1MaWodYyGHDf7siQLGxnXhG4mBNTNIuy296niS2xXulU/edit?usp=sharing"",""RTK!I56"")"),0)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IFERROR(__xludf.DUMMYFUNCTION("IMPORTRANGE(""https://docs.google.com/spreadsheets/d/19vJNZY_5yjcGF2XGBMNZRCAIB0Kwfpjp8YEOfu-bneM/edit?usp=sharing"",""งานกองทุน!D56"")"),11570000)</f>
        <v>11570000</v>
      </c>
      <c r="J821" s="264">
        <f ca="1">IFERROR(__xludf.DUMMYFUNCTION("IMPORTRANGE(""https://docs.google.com/spreadsheets/d/19vJNZY_5yjcGF2XGBMNZRCAIB0Kwfpjp8YEOfu-bneM/edit?usp=sharing"",""งานกองทุน!F56"")"),50000)</f>
        <v>50000</v>
      </c>
      <c r="K821" s="495">
        <f t="shared" ref="K821:K828" ca="1" si="334">IF(I821&gt;0,J821*100/I821,0)</f>
        <v>0.43215211754537597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IFERROR(__xludf.DUMMYFUNCTION("IMPORTRANGE(""https://docs.google.com/spreadsheets/d/19vJNZY_5yjcGF2XGBMNZRCAIB0Kwfpjp8YEOfu-bneM/edit?usp=sharing"",""งานกองทุน!C56"")"),237)</f>
        <v>237</v>
      </c>
      <c r="J822" s="264">
        <f ca="1">IFERROR(__xludf.DUMMYFUNCTION("IMPORTRANGE(""https://docs.google.com/spreadsheets/d/19vJNZY_5yjcGF2XGBMNZRCAIB0Kwfpjp8YEOfu-bneM/edit?usp=sharing"",""งานกองทุน!E56"")"),1)</f>
        <v>1</v>
      </c>
      <c r="K822" s="495">
        <f t="shared" ca="1" si="334"/>
        <v>0.4219409282700422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IFERROR(__xludf.DUMMYFUNCTION("IMPORTRANGE(""https://docs.google.com/spreadsheets/d/19vJNZY_5yjcGF2XGBMNZRCAIB0Kwfpjp8YEOfu-bneM/edit?usp=sharing"",""งานกองทุน!I56"")"),0)</f>
        <v>0</v>
      </c>
      <c r="J823" s="264">
        <f ca="1">IFERROR(__xludf.DUMMYFUNCTION("IMPORTRANGE(""https://docs.google.com/spreadsheets/d/19vJNZY_5yjcGF2XGBMNZRCAIB0Kwfpjp8YEOfu-bneM/edit?usp=sharing"",""งานกองทุน!K56"")"),0)</f>
        <v>0</v>
      </c>
      <c r="K823" s="495">
        <f t="shared" ca="1" si="334"/>
        <v>0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IFERROR(__xludf.DUMMYFUNCTION("IMPORTRANGE(""https://docs.google.com/spreadsheets/d/19vJNZY_5yjcGF2XGBMNZRCAIB0Kwfpjp8YEOfu-bneM/edit?usp=sharing"",""งานกองทุน!H56"")"),0)</f>
        <v>0</v>
      </c>
      <c r="J824" s="264">
        <f ca="1">IFERROR(__xludf.DUMMYFUNCTION("IMPORTRANGE(""https://docs.google.com/spreadsheets/d/19vJNZY_5yjcGF2XGBMNZRCAIB0Kwfpjp8YEOfu-bneM/edit?usp=sharing"",""งานกองทุน!J56"")"),0)</f>
        <v>0</v>
      </c>
      <c r="K824" s="495">
        <f t="shared" ca="1" si="334"/>
        <v>0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IFERROR(__xludf.DUMMYFUNCTION("IMPORTRANGE(""https://docs.google.com/spreadsheets/d/19vJNZY_5yjcGF2XGBMNZRCAIB0Kwfpjp8YEOfu-bneM/edit?usp=sharing"",""งานกองทุน!N56"")"),0)</f>
        <v>0</v>
      </c>
      <c r="J825" s="264">
        <f ca="1">IFERROR(__xludf.DUMMYFUNCTION("IMPORTRANGE(""https://docs.google.com/spreadsheets/d/19vJNZY_5yjcGF2XGBMNZRCAIB0Kwfpjp8YEOfu-bneM/edit?usp=sharing"",""งานกองทุน!P56"")"),0)</f>
        <v>0</v>
      </c>
      <c r="K825" s="495">
        <f t="shared" ca="1" si="334"/>
        <v>0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IFERROR(__xludf.DUMMYFUNCTION("IMPORTRANGE(""https://docs.google.com/spreadsheets/d/19vJNZY_5yjcGF2XGBMNZRCAIB0Kwfpjp8YEOfu-bneM/edit?usp=sharing"",""งานกองทุน!M56"")"),0)</f>
        <v>0</v>
      </c>
      <c r="J826" s="264">
        <f ca="1">IFERROR(__xludf.DUMMYFUNCTION("IMPORTRANGE(""https://docs.google.com/spreadsheets/d/19vJNZY_5yjcGF2XGBMNZRCAIB0Kwfpjp8YEOfu-bneM/edit?usp=sharing"",""งานกองทุน!O56"")"),0)</f>
        <v>0</v>
      </c>
      <c r="K826" s="495">
        <f t="shared" ca="1" si="334"/>
        <v>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IFERROR(__xludf.DUMMYFUNCTION("IMPORTRANGE(""https://docs.google.com/spreadsheets/d/19vJNZY_5yjcGF2XGBMNZRCAIB0Kwfpjp8YEOfu-bneM/edit?usp=sharing"",""งานกองทุน!S56"")"),10120000)</f>
        <v>10120000</v>
      </c>
      <c r="J827" s="264">
        <f ca="1">IFERROR(__xludf.DUMMYFUNCTION("IMPORTRANGE(""https://docs.google.com/spreadsheets/d/19vJNZY_5yjcGF2XGBMNZRCAIB0Kwfpjp8YEOfu-bneM/edit?usp=sharing"",""งานกองทุน!U56"")"),0)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IFERROR(__xludf.DUMMYFUNCTION("IMPORTRANGE(""https://docs.google.com/spreadsheets/d/19vJNZY_5yjcGF2XGBMNZRCAIB0Kwfpjp8YEOfu-bneM/edit?usp=sharing"",""งานกองทุน!R56"")"),249)</f>
        <v>249</v>
      </c>
      <c r="J828" s="498">
        <f ca="1">IFERROR(__xludf.DUMMYFUNCTION("IMPORTRANGE(""https://docs.google.com/spreadsheets/d/19vJNZY_5yjcGF2XGBMNZRCAIB0Kwfpjp8YEOfu-bneM/edit?usp=sharing"",""งานกองทุน!T56"")"),41)</f>
        <v>41</v>
      </c>
      <c r="K828" s="499">
        <f t="shared" ca="1" si="334"/>
        <v>16.46586345381526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B8EA-C250-415B-8674-C1599E65E0EC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338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6792414</v>
      </c>
      <c r="M8" s="21">
        <f t="shared" ca="1" si="0"/>
        <v>4703916</v>
      </c>
      <c r="N8" s="21">
        <f t="shared" ca="1" si="0"/>
        <v>3545712.0300000003</v>
      </c>
      <c r="O8" s="21">
        <f t="shared" ref="O8:O16" ca="1" si="1">IF(L8&gt;0,N8*100/L8,0)</f>
        <v>52.201058857719801</v>
      </c>
      <c r="P8" s="21">
        <f t="shared" ref="P8:P16" ca="1" si="2">IF(M8&gt;0,N8*100/M8,0)</f>
        <v>75.37787728352292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6792414</v>
      </c>
      <c r="M10" s="29">
        <f t="shared" ca="1" si="3"/>
        <v>4703916</v>
      </c>
      <c r="N10" s="29">
        <f t="shared" ca="1" si="3"/>
        <v>3545712.0300000003</v>
      </c>
      <c r="O10" s="29">
        <f t="shared" ca="1" si="1"/>
        <v>52.201058857719801</v>
      </c>
      <c r="P10" s="29">
        <f t="shared" ca="1" si="2"/>
        <v>75.37787728352292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3518314</v>
      </c>
      <c r="M11" s="495">
        <f t="shared" ca="1" si="4"/>
        <v>1429816</v>
      </c>
      <c r="N11" s="495">
        <f t="shared" ca="1" si="4"/>
        <v>631612.03</v>
      </c>
      <c r="O11" s="495">
        <f t="shared" ca="1" si="1"/>
        <v>17.952122238094724</v>
      </c>
      <c r="P11" s="495">
        <f t="shared" ca="1" si="2"/>
        <v>44.174357399833262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3518314</v>
      </c>
      <c r="M13" s="90">
        <f t="shared" ca="1" si="5"/>
        <v>1429816</v>
      </c>
      <c r="N13" s="90">
        <f t="shared" ca="1" si="5"/>
        <v>631612.03</v>
      </c>
      <c r="O13" s="90">
        <f t="shared" ca="1" si="1"/>
        <v>17.952122238094724</v>
      </c>
      <c r="P13" s="90">
        <f t="shared" ca="1" si="2"/>
        <v>44.174357399833262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3274100</v>
      </c>
      <c r="M14" s="495">
        <f t="shared" ca="1" si="6"/>
        <v>3274100</v>
      </c>
      <c r="N14" s="495">
        <f t="shared" ca="1" si="6"/>
        <v>2914100</v>
      </c>
      <c r="O14" s="495">
        <f t="shared" ca="1" si="1"/>
        <v>89.004611954430231</v>
      </c>
      <c r="P14" s="495">
        <f t="shared" ca="1" si="2"/>
        <v>89.004611954430231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3274100</v>
      </c>
      <c r="M16" s="51">
        <f t="shared" ca="1" si="7"/>
        <v>3274100</v>
      </c>
      <c r="N16" s="51">
        <f t="shared" ca="1" si="7"/>
        <v>2914100</v>
      </c>
      <c r="O16" s="51">
        <f t="shared" ca="1" si="1"/>
        <v>89.004611954430231</v>
      </c>
      <c r="P16" s="51">
        <f t="shared" ca="1" si="2"/>
        <v>89.004611954430231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6154866</v>
      </c>
      <c r="M18" s="21">
        <f t="shared" ca="1" si="8"/>
        <v>4703916</v>
      </c>
      <c r="N18" s="21">
        <f t="shared" ca="1" si="8"/>
        <v>3545712.0300000003</v>
      </c>
      <c r="O18" s="21">
        <f t="shared" ref="O18:O26" ca="1" si="9">IF(L18&gt;0,N18*100/L18,0)</f>
        <v>57.608273356398009</v>
      </c>
      <c r="P18" s="21">
        <f t="shared" ref="P18:P26" ca="1" si="10">IF(M18&gt;0,N18*100/M18,0)</f>
        <v>75.37787728352292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6154866</v>
      </c>
      <c r="M20" s="29">
        <f t="shared" ca="1" si="11"/>
        <v>4703916</v>
      </c>
      <c r="N20" s="29">
        <f t="shared" ca="1" si="11"/>
        <v>3545712.0300000003</v>
      </c>
      <c r="O20" s="29">
        <f t="shared" ca="1" si="9"/>
        <v>57.608273356398009</v>
      </c>
      <c r="P20" s="29">
        <f t="shared" ca="1" si="10"/>
        <v>75.37787728352292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2880766</v>
      </c>
      <c r="M21" s="495">
        <f t="shared" ca="1" si="12"/>
        <v>1429816</v>
      </c>
      <c r="N21" s="495">
        <f t="shared" ca="1" si="12"/>
        <v>631612.03</v>
      </c>
      <c r="O21" s="495">
        <f t="shared" ca="1" si="9"/>
        <v>21.925141785205739</v>
      </c>
      <c r="P21" s="495">
        <f t="shared" ca="1" si="10"/>
        <v>44.174357399833262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2880766</v>
      </c>
      <c r="M23" s="90">
        <f t="shared" ca="1" si="13"/>
        <v>1429816</v>
      </c>
      <c r="N23" s="90">
        <f t="shared" ca="1" si="13"/>
        <v>631612.03</v>
      </c>
      <c r="O23" s="90">
        <f t="shared" ca="1" si="9"/>
        <v>21.925141785205739</v>
      </c>
      <c r="P23" s="90">
        <f t="shared" ca="1" si="10"/>
        <v>44.174357399833262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3274100</v>
      </c>
      <c r="M24" s="495">
        <f t="shared" ca="1" si="14"/>
        <v>3274100</v>
      </c>
      <c r="N24" s="495">
        <f t="shared" ca="1" si="14"/>
        <v>2914100</v>
      </c>
      <c r="O24" s="495">
        <f t="shared" ca="1" si="9"/>
        <v>89.004611954430231</v>
      </c>
      <c r="P24" s="495">
        <f t="shared" ca="1" si="10"/>
        <v>89.004611954430231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3274100</v>
      </c>
      <c r="M26" s="51">
        <f t="shared" ca="1" si="15"/>
        <v>3274100</v>
      </c>
      <c r="N26" s="51">
        <f t="shared" ca="1" si="15"/>
        <v>2914100</v>
      </c>
      <c r="O26" s="51">
        <f t="shared" ca="1" si="9"/>
        <v>89.004611954430231</v>
      </c>
      <c r="P26" s="51">
        <f t="shared" ca="1" si="10"/>
        <v>89.004611954430231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637548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637548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637548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637548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6154866</v>
      </c>
      <c r="M37" s="57">
        <f t="shared" ca="1" si="24"/>
        <v>4703916</v>
      </c>
      <c r="N37" s="57">
        <f t="shared" ca="1" si="24"/>
        <v>3545712.0300000003</v>
      </c>
      <c r="O37" s="57">
        <f t="shared" ca="1" si="17"/>
        <v>57.608273356398009</v>
      </c>
      <c r="P37" s="57">
        <f t="shared" ca="1" si="18"/>
        <v>75.37787728352292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309946</v>
      </c>
      <c r="M41" s="82">
        <f t="shared" ca="1" si="25"/>
        <v>156246</v>
      </c>
      <c r="N41" s="82">
        <f t="shared" ca="1" si="25"/>
        <v>53098</v>
      </c>
      <c r="O41" s="82">
        <f t="shared" ref="O41:O49" ca="1" si="26">IF(L41&gt;0,N41*100/L41,0)</f>
        <v>17.131371271124646</v>
      </c>
      <c r="P41" s="82">
        <f t="shared" ref="P41:P49" ca="1" si="27">IF(M41&gt;0,N41*100/M41,0)</f>
        <v>33.983589979903485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309946</v>
      </c>
      <c r="M43" s="89">
        <f t="shared" ca="1" si="28"/>
        <v>156246</v>
      </c>
      <c r="N43" s="89">
        <f t="shared" ca="1" si="28"/>
        <v>53098</v>
      </c>
      <c r="O43" s="89">
        <f t="shared" ca="1" si="26"/>
        <v>17.131371271124646</v>
      </c>
      <c r="P43" s="89">
        <f t="shared" ca="1" si="27"/>
        <v>33.983589979903485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309946</v>
      </c>
      <c r="M44" s="495">
        <f t="shared" ca="1" si="29"/>
        <v>156246</v>
      </c>
      <c r="N44" s="495">
        <f t="shared" ca="1" si="29"/>
        <v>53098</v>
      </c>
      <c r="O44" s="495">
        <f t="shared" ca="1" si="26"/>
        <v>17.131371271124646</v>
      </c>
      <c r="P44" s="495">
        <f t="shared" ca="1" si="27"/>
        <v>33.983589979903485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IFERROR(__xludf.DUMMYFUNCTION("IMPORTRANGE(""https://docs.google.com/spreadsheets/d/1MeEWN-I1oV_STSDYn1IFDPWt_1FKiwhDph83XaGc0o0/edit?usp=sharing"",""งบพรบ!M57"")"),309946)</f>
        <v>309946</v>
      </c>
      <c r="M46" s="90">
        <f ca="1">IFERROR(__xludf.DUMMYFUNCTION("IMPORTRANGE(""https://docs.google.com/spreadsheets/d/1MeEWN-I1oV_STSDYn1IFDPWt_1FKiwhDph83XaGc0o0/edit?usp=sharing"",""งบพรบ!R57"")"),156246)</f>
        <v>156246</v>
      </c>
      <c r="N46" s="90">
        <f ca="1">IFERROR(__xludf.DUMMYFUNCTION("IMPORTRANGE(""https://docs.google.com/spreadsheets/d/1MeEWN-I1oV_STSDYn1IFDPWt_1FKiwhDph83XaGc0o0/edit?usp=sharing"",""งบพรบ!T57"")"),53098)</f>
        <v>53098</v>
      </c>
      <c r="O46" s="90">
        <f t="shared" ca="1" si="26"/>
        <v>17.131371271124646</v>
      </c>
      <c r="P46" s="90">
        <f t="shared" ca="1" si="27"/>
        <v>33.983589979903485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IFERROR(__xludf.DUMMYFUNCTION("IMPORTRANGE(""https://docs.google.com/spreadsheets/d/1MeEWN-I1oV_STSDYn1IFDPWt_1FKiwhDph83XaGc0o0/edit?usp=sharing"",""งบพรบ!P57"")"),0)</f>
        <v>0</v>
      </c>
      <c r="M49" s="51">
        <f ca="1">IFERROR(__xludf.DUMMYFUNCTION("IMPORTRANGE(""https://docs.google.com/spreadsheets/d/1MeEWN-I1oV_STSDYn1IFDPWt_1FKiwhDph83XaGc0o0/edit?usp=sharing"",""งบพรบ!S57"")"),0)</f>
        <v>0</v>
      </c>
      <c r="N49" s="51">
        <f ca="1">IFERROR(__xludf.DUMMYFUNCTION("IMPORTRANGE(""https://docs.google.com/spreadsheets/d/1MeEWN-I1oV_STSDYn1IFDPWt_1FKiwhDph83XaGc0o0/edit?usp=sharing"",""งบพรบ!U57"")"),0)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3823100</v>
      </c>
      <c r="M53" s="112">
        <f t="shared" ca="1" si="31"/>
        <v>3511550</v>
      </c>
      <c r="N53" s="112">
        <f t="shared" ca="1" si="31"/>
        <v>3051178.52</v>
      </c>
      <c r="O53" s="112">
        <f t="shared" ref="O53:O61" ca="1" si="32">IF(L53&gt;0,N53*100/L53,0)</f>
        <v>79.809016766498388</v>
      </c>
      <c r="P53" s="112">
        <f t="shared" ref="P53:P61" ca="1" si="33">IF(M53&gt;0,N53*100/M53,0)</f>
        <v>86.8897928265296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3823100</v>
      </c>
      <c r="M55" s="119">
        <f t="shared" ca="1" si="34"/>
        <v>3511550</v>
      </c>
      <c r="N55" s="119">
        <f t="shared" ca="1" si="34"/>
        <v>3051178.52</v>
      </c>
      <c r="O55" s="119">
        <f t="shared" ca="1" si="32"/>
        <v>79.809016766498388</v>
      </c>
      <c r="P55" s="119">
        <f t="shared" ca="1" si="33"/>
        <v>86.8897928265296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623100</v>
      </c>
      <c r="M56" s="495">
        <f t="shared" ca="1" si="35"/>
        <v>311550</v>
      </c>
      <c r="N56" s="495">
        <f t="shared" ca="1" si="35"/>
        <v>211178.52</v>
      </c>
      <c r="O56" s="495">
        <f t="shared" ca="1" si="32"/>
        <v>33.89159364467983</v>
      </c>
      <c r="P56" s="495">
        <f t="shared" ca="1" si="33"/>
        <v>67.78318728935966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IFERROR(__xludf.DUMMYFUNCTION("IMPORTRANGE(""https://docs.google.com/spreadsheets/d/1MeEWN-I1oV_STSDYn1IFDPWt_1FKiwhDph83XaGc0o0/edit?usp=sharing"",""งบพรบ!W57"")"),623100)</f>
        <v>623100</v>
      </c>
      <c r="M58" s="90">
        <f ca="1">IFERROR(__xludf.DUMMYFUNCTION("IMPORTRANGE(""https://docs.google.com/spreadsheets/d/1MeEWN-I1oV_STSDYn1IFDPWt_1FKiwhDph83XaGc0o0/edit?usp=sharing"",""งบพรบ!AB57"")"),311550)</f>
        <v>311550</v>
      </c>
      <c r="N58" s="90">
        <f ca="1">IFERROR(__xludf.DUMMYFUNCTION("IMPORTRANGE(""https://docs.google.com/spreadsheets/d/1MeEWN-I1oV_STSDYn1IFDPWt_1FKiwhDph83XaGc0o0/edit?usp=sharing"",""งบพรบ!AD57"")"),211178.52)</f>
        <v>211178.52</v>
      </c>
      <c r="O58" s="90">
        <f t="shared" ca="1" si="32"/>
        <v>33.89159364467983</v>
      </c>
      <c r="P58" s="90">
        <f t="shared" ca="1" si="33"/>
        <v>67.78318728935966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3200000</v>
      </c>
      <c r="M59" s="495">
        <f t="shared" ca="1" si="36"/>
        <v>3200000</v>
      </c>
      <c r="N59" s="495">
        <f t="shared" ca="1" si="36"/>
        <v>2840000</v>
      </c>
      <c r="O59" s="495">
        <f t="shared" ca="1" si="32"/>
        <v>88.75</v>
      </c>
      <c r="P59" s="495">
        <f t="shared" ca="1" si="33"/>
        <v>88.75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IFERROR(__xludf.DUMMYFUNCTION("IMPORTRANGE(""https://docs.google.com/spreadsheets/d/1MeEWN-I1oV_STSDYn1IFDPWt_1FKiwhDph83XaGc0o0/edit?usp=sharing"",""งบพรบ!Z57"")"),3200000)</f>
        <v>3200000</v>
      </c>
      <c r="M61" s="51">
        <f ca="1">IFERROR(__xludf.DUMMYFUNCTION("IMPORTRANGE(""https://docs.google.com/spreadsheets/d/1MeEWN-I1oV_STSDYn1IFDPWt_1FKiwhDph83XaGc0o0/edit?usp=sharing"",""งบพรบ!AC57"")"),3200000)</f>
        <v>3200000</v>
      </c>
      <c r="N61" s="51">
        <f ca="1">IFERROR(__xludf.DUMMYFUNCTION("IMPORTRANGE(""https://docs.google.com/spreadsheets/d/1MeEWN-I1oV_STSDYn1IFDPWt_1FKiwhDph83XaGc0o0/edit?usp=sharing"",""งบพรบ!AE57"")"),2840000)</f>
        <v>2840000</v>
      </c>
      <c r="O61" s="51">
        <f t="shared" ca="1" si="32"/>
        <v>88.75</v>
      </c>
      <c r="P61" s="51">
        <f t="shared" ca="1" si="33"/>
        <v>88.75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2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64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1150600</v>
      </c>
      <c r="M66" s="151">
        <f t="shared" ca="1" si="39"/>
        <v>554600</v>
      </c>
      <c r="N66" s="151">
        <f t="shared" ca="1" si="39"/>
        <v>222922.51</v>
      </c>
      <c r="O66" s="151">
        <f t="shared" ref="O66:O74" ca="1" si="40">IF(L66&gt;0,N66*100/L66,0)</f>
        <v>19.374457674256909</v>
      </c>
      <c r="P66" s="151">
        <f t="shared" ref="P66:P74" ca="1" si="41">IF(M66&gt;0,N66*100/M66,0)</f>
        <v>40.195187522538767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1150600</v>
      </c>
      <c r="M68" s="90">
        <f t="shared" ca="1" si="42"/>
        <v>554600</v>
      </c>
      <c r="N68" s="90">
        <f t="shared" ca="1" si="42"/>
        <v>222922.51</v>
      </c>
      <c r="O68" s="90">
        <f t="shared" ca="1" si="40"/>
        <v>19.374457674256909</v>
      </c>
      <c r="P68" s="90">
        <f t="shared" ca="1" si="41"/>
        <v>40.195187522538767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1150600</v>
      </c>
      <c r="M69" s="495">
        <f t="shared" ca="1" si="43"/>
        <v>554600</v>
      </c>
      <c r="N69" s="495">
        <f t="shared" ca="1" si="43"/>
        <v>222922.51</v>
      </c>
      <c r="O69" s="495">
        <f t="shared" ca="1" si="40"/>
        <v>19.374457674256909</v>
      </c>
      <c r="P69" s="495">
        <f t="shared" ca="1" si="41"/>
        <v>40.195187522538767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IFERROR(__xludf.DUMMYFUNCTION("IMPORTRANGE(""https://docs.google.com/spreadsheets/d/1MeEWN-I1oV_STSDYn1IFDPWt_1FKiwhDph83XaGc0o0/edit?usp=sharing"",""งบพรบ!AG57"")"),1150600)</f>
        <v>1150600</v>
      </c>
      <c r="M71" s="90">
        <f ca="1">IFERROR(__xludf.DUMMYFUNCTION("IMPORTRANGE(""https://docs.google.com/spreadsheets/d/1MeEWN-I1oV_STSDYn1IFDPWt_1FKiwhDph83XaGc0o0/edit?usp=sharing"",""งบพรบ!AL57"")"),554600)</f>
        <v>554600</v>
      </c>
      <c r="N71" s="90">
        <f ca="1">IFERROR(__xludf.DUMMYFUNCTION("IMPORTRANGE(""https://docs.google.com/spreadsheets/d/1MeEWN-I1oV_STSDYn1IFDPWt_1FKiwhDph83XaGc0o0/edit?usp=sharing"",""งบพรบ!AN57"")"),222922.51)</f>
        <v>222922.51</v>
      </c>
      <c r="O71" s="90">
        <f t="shared" ca="1" si="40"/>
        <v>19.374457674256909</v>
      </c>
      <c r="P71" s="90">
        <f t="shared" ca="1" si="41"/>
        <v>40.195187522538767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IFERROR(__xludf.DUMMYFUNCTION("IMPORTRANGE(""https://docs.google.com/spreadsheets/d/1MeEWN-I1oV_STSDYn1IFDPWt_1FKiwhDph83XaGc0o0/edit?usp=sharing"",""งบพรบ!AJ57"")"),0)</f>
        <v>0</v>
      </c>
      <c r="M74" s="90">
        <f ca="1">IFERROR(__xludf.DUMMYFUNCTION("IMPORTRANGE(""https://docs.google.com/spreadsheets/d/1MeEWN-I1oV_STSDYn1IFDPWt_1FKiwhDph83XaGc0o0/edit?usp=sharing"",""งบพรบ!AM57"")"),0)</f>
        <v>0</v>
      </c>
      <c r="N74" s="90">
        <f ca="1">IFERROR(__xludf.DUMMYFUNCTION("IMPORTRANGE(""https://docs.google.com/spreadsheets/d/1MeEWN-I1oV_STSDYn1IFDPWt_1FKiwhDph83XaGc0o0/edit?usp=sharing"",""งบพรบ!AO57"")"),0)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2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64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IFERROR(__xludf.DUMMYFUNCTION("IMPORTRANGE(""https://docs.google.com/spreadsheets/d/1QqKyyYR6Q21VydFLVH3TRQUabQu_ym0Zz7PgGX0-kHA/edit?usp=sharing"",""แผน!H57"")"),1)</f>
        <v>1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IFERROR(__xludf.DUMMYFUNCTION("IMPORTRANGE(""https://docs.google.com/spreadsheets/d/1QqKyyYR6Q21VydFLVH3TRQUabQu_ym0Zz7PgGX0-kHA/edit?usp=sharing"",""แผน!I57"")"),34)</f>
        <v>34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IFERROR(__xludf.DUMMYFUNCTION("IMPORTRANGE(""https://docs.google.com/spreadsheets/d/1QqKyyYR6Q21VydFLVH3TRQUabQu_ym0Zz7PgGX0-kHA/edit?usp=sharing"",""แผน!F57"")"),0)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IFERROR(__xludf.DUMMYFUNCTION("IMPORTRANGE(""https://docs.google.com/spreadsheets/d/1QqKyyYR6Q21VydFLVH3TRQUabQu_ym0Zz7PgGX0-kHA/edit?usp=sharing"",""แผน!G57"")"),0)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IFERROR(__xludf.DUMMYFUNCTION("IMPORTRANGE(""https://docs.google.com/spreadsheets/d/1QqKyyYR6Q21VydFLVH3TRQUabQu_ym0Zz7PgGX0-kHA/edit?usp=sharing"",""แผน!D57"")"),1)</f>
        <v>1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IFERROR(__xludf.DUMMYFUNCTION("IMPORTRANGE(""https://docs.google.com/spreadsheets/d/1QqKyyYR6Q21VydFLVH3TRQUabQu_ym0Zz7PgGX0-kHA/edit?usp=sharing"",""แผน!E57"")"),30)</f>
        <v>30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IFERROR(__xludf.DUMMYFUNCTION("IMPORTRANGE(""https://docs.google.com/spreadsheets/d/1QqKyyYR6Q21VydFLVH3TRQUabQu_ym0Zz7PgGX0-kHA/edit?usp=sharing"",""แผน!J57"")"),2)</f>
        <v>2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90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30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136220</v>
      </c>
      <c r="M88" s="151">
        <f t="shared" ca="1" si="49"/>
        <v>65520</v>
      </c>
      <c r="N88" s="151">
        <f t="shared" ca="1" si="49"/>
        <v>65520</v>
      </c>
      <c r="O88" s="151">
        <f t="shared" ref="O88:O96" ca="1" si="50">IF(L88&gt;0,N88*100/L88,0)</f>
        <v>48.098663926002054</v>
      </c>
      <c r="P88" s="151">
        <f t="shared" ref="P88:P96" ca="1" si="51">IF(M88&gt;0,N88*100/M88,0)</f>
        <v>100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136220</v>
      </c>
      <c r="M90" s="90">
        <f t="shared" ca="1" si="52"/>
        <v>65520</v>
      </c>
      <c r="N90" s="90">
        <f t="shared" ca="1" si="52"/>
        <v>65520</v>
      </c>
      <c r="O90" s="90">
        <f t="shared" ca="1" si="50"/>
        <v>48.098663926002054</v>
      </c>
      <c r="P90" s="90">
        <f t="shared" ca="1" si="51"/>
        <v>100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136220</v>
      </c>
      <c r="M91" s="495">
        <f t="shared" ca="1" si="53"/>
        <v>65520</v>
      </c>
      <c r="N91" s="495">
        <f t="shared" ca="1" si="53"/>
        <v>65520</v>
      </c>
      <c r="O91" s="495">
        <f t="shared" ca="1" si="50"/>
        <v>48.098663926002054</v>
      </c>
      <c r="P91" s="495">
        <f t="shared" ca="1" si="51"/>
        <v>100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IFERROR(__xludf.DUMMYFUNCTION("IMPORTRANGE(""https://docs.google.com/spreadsheets/d/1MeEWN-I1oV_STSDYn1IFDPWt_1FKiwhDph83XaGc0o0/edit?usp=sharing"",""งบพรบ!AQ57"")"),136220)</f>
        <v>136220</v>
      </c>
      <c r="M93" s="90">
        <f ca="1">IFERROR(__xludf.DUMMYFUNCTION("IMPORTRANGE(""https://docs.google.com/spreadsheets/d/1MeEWN-I1oV_STSDYn1IFDPWt_1FKiwhDph83XaGc0o0/edit?usp=sharing"",""งบพรบ!AV57"")"),65520)</f>
        <v>65520</v>
      </c>
      <c r="N93" s="90">
        <f ca="1">IFERROR(__xludf.DUMMYFUNCTION("IMPORTRANGE(""https://docs.google.com/spreadsheets/d/1MeEWN-I1oV_STSDYn1IFDPWt_1FKiwhDph83XaGc0o0/edit?usp=sharing"",""งบพรบ!AX57"")"),65520)</f>
        <v>65520</v>
      </c>
      <c r="O93" s="90">
        <f t="shared" ca="1" si="50"/>
        <v>48.098663926002054</v>
      </c>
      <c r="P93" s="90">
        <f t="shared" ca="1" si="51"/>
        <v>100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IFERROR(__xludf.DUMMYFUNCTION("IMPORTRANGE(""https://docs.google.com/spreadsheets/d/1MeEWN-I1oV_STSDYn1IFDPWt_1FKiwhDph83XaGc0o0/edit?usp=sharing"",""งบพรบ!AT57"")"),0)</f>
        <v>0</v>
      </c>
      <c r="M96" s="90">
        <f ca="1">IFERROR(__xludf.DUMMYFUNCTION("IMPORTRANGE(""https://docs.google.com/spreadsheets/d/1MeEWN-I1oV_STSDYn1IFDPWt_1FKiwhDph83XaGc0o0/edit?usp=sharing"",""งบพรบ!AW57"")"),0)</f>
        <v>0</v>
      </c>
      <c r="N96" s="90">
        <f ca="1">IFERROR(__xludf.DUMMYFUNCTION("IMPORTRANGE(""https://docs.google.com/spreadsheets/d/1MeEWN-I1oV_STSDYn1IFDPWt_1FKiwhDph83XaGc0o0/edit?usp=sharing"",""งบพรบ!AY57"")"),0)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IFERROR(__xludf.DUMMYFUNCTION("IMPORTRANGE(""https://docs.google.com/spreadsheets/d/1QqKyyYR6Q21VydFLVH3TRQUabQu_ym0Zz7PgGX0-kHA/edit?usp=sharing"",""แผน!K57"")"),90)</f>
        <v>90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IFERROR(__xludf.DUMMYFUNCTION("IMPORTRANGE(""https://docs.google.com/spreadsheets/d/1QqKyyYR6Q21VydFLVH3TRQUabQu_ym0Zz7PgGX0-kHA/edit?usp=sharing"",""แผน!L57"")"),30)</f>
        <v>30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IFERROR(__xludf.DUMMYFUNCTION("IMPORTRANGE(""https://docs.google.com/spreadsheets/d/1QqKyyYR6Q21VydFLVH3TRQUabQu_ym0Zz7PgGX0-kHA/edit?usp=sharing"",""แผน!M57"")"),2)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IFERROR(__xludf.DUMMYFUNCTION("IMPORTRANGE(""https://docs.google.com/spreadsheets/d/1QqKyyYR6Q21VydFLVH3TRQUabQu_ym0Zz7PgGX0-kHA/edit?usp=sharing"",""แผน!N57"")"),90)</f>
        <v>90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IFERROR(__xludf.DUMMYFUNCTION("IMPORTRANGE(""https://docs.google.com/spreadsheets/d/1QqKyyYR6Q21VydFLVH3TRQUabQu_ym0Zz7PgGX0-kHA/edit?usp=sharing"",""แผน!O57"")"),30)</f>
        <v>30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IFERROR(__xludf.DUMMYFUNCTION("IMPORTRANGE(""https://docs.google.com/spreadsheets/d/1QqKyyYR6Q21VydFLVH3TRQUabQu_ym0Zz7PgGX0-kHA/edit?usp=sharing"",""แผน!O57"")"),30)</f>
        <v>30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IFERROR(__xludf.DUMMYFUNCTION("IMPORTRANGE(""https://docs.google.com/spreadsheets/d/1QqKyyYR6Q21VydFLVH3TRQUabQu_ym0Zz7PgGX0-kHA/edit?usp=sharing"",""แผน!P57"")"),1)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IFERROR(__xludf.DUMMYFUNCTION("IMPORTRANGE(""https://docs.google.com/spreadsheets/d/1QqKyyYR6Q21VydFLVH3TRQUabQu_ym0Zz7PgGX0-kHA/edit?usp=sharing"",""แผน!P57"")"),1)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IFERROR(__xludf.DUMMYFUNCTION("IMPORTRANGE(""https://docs.google.com/spreadsheets/d/1QqKyyYR6Q21VydFLVH3TRQUabQu_ym0Zz7PgGX0-kHA/edit?usp=sharing"",""แผน!Q57"")"),1)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IFERROR(__xludf.DUMMYFUNCTION("IMPORTRANGE(""https://docs.google.com/spreadsheets/d/1QqKyyYR6Q21VydFLVH3TRQUabQu_ym0Zz7PgGX0-kHA/edit?usp=sharing"",""แผน!Q57"")"),1)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IFERROR(__xludf.DUMMYFUNCTION("IMPORTRANGE(""https://docs.google.com/spreadsheets/d/1QqKyyYR6Q21VydFLVH3TRQUabQu_ym0Zz7PgGX0-kHA/edit?usp=sharing"",""แผน!R57"")"),30)</f>
        <v>30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IFERROR(__xludf.DUMMYFUNCTION("IMPORTRANGE(""https://docs.google.com/spreadsheets/d/1QqKyyYR6Q21VydFLVH3TRQUabQu_ym0Zz7PgGX0-kHA/edit?usp=sharing"",""แผน!R57"")"),30)</f>
        <v>30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IFERROR(__xludf.DUMMYFUNCTION("IMPORTRANGE(""https://docs.google.com/spreadsheets/d/1QqKyyYR6Q21VydFLVH3TRQUabQu_ym0Zz7PgGX0-kHA/edit?usp=sharing"",""แผน!R57"")"),30)</f>
        <v>30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IFERROR(__xludf.DUMMYFUNCTION("IMPORTRANGE(""https://docs.google.com/spreadsheets/d/1QqKyyYR6Q21VydFLVH3TRQUabQu_ym0Zz7PgGX0-kHA/edit?usp=sharing"",""แผน!S57"")"),1)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IFERROR(__xludf.DUMMYFUNCTION("IMPORTRANGE(""https://docs.google.com/spreadsheets/d/1QqKyyYR6Q21VydFLVH3TRQUabQu_ym0Zz7PgGX0-kHA/edit?usp=sharing"",""แผน!T57"")"),1)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IFERROR(__xludf.DUMMYFUNCTION("IMPORTRANGE(""https://docs.google.com/spreadsheets/d/1MeEWN-I1oV_STSDYn1IFDPWt_1FKiwhDph83XaGc0o0/edit?usp=sharing"",""งบพรบ!BA57"")"),0)</f>
        <v>0</v>
      </c>
      <c r="M124" s="90">
        <f ca="1">IFERROR(__xludf.DUMMYFUNCTION("IMPORTRANGE(""https://docs.google.com/spreadsheets/d/1MeEWN-I1oV_STSDYn1IFDPWt_1FKiwhDph83XaGc0o0/edit?usp=sharing"",""งบพรบ!BF57"")"),0)</f>
        <v>0</v>
      </c>
      <c r="N124" s="90">
        <f ca="1">IFERROR(__xludf.DUMMYFUNCTION("IMPORTRANGE(""https://docs.google.com/spreadsheets/d/1MeEWN-I1oV_STSDYn1IFDPWt_1FKiwhDph83XaGc0o0/edit?usp=sharing"",""งบพรบ!BH57"")"),0)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IFERROR(__xludf.DUMMYFUNCTION("IMPORTRANGE(""https://docs.google.com/spreadsheets/d/1MeEWN-I1oV_STSDYn1IFDPWt_1FKiwhDph83XaGc0o0/edit?usp=sharing"",""งบพรบ!BD57"")"),0)</f>
        <v>0</v>
      </c>
      <c r="M127" s="90">
        <f ca="1">IFERROR(__xludf.DUMMYFUNCTION("IMPORTRANGE(""https://docs.google.com/spreadsheets/d/1MeEWN-I1oV_STSDYn1IFDPWt_1FKiwhDph83XaGc0o0/edit?usp=sharing"",""งบพรบ!BG57"")"),0)</f>
        <v>0</v>
      </c>
      <c r="N127" s="90">
        <f ca="1">IFERROR(__xludf.DUMMYFUNCTION("IMPORTRANGE(""https://docs.google.com/spreadsheets/d/1MeEWN-I1oV_STSDYn1IFDPWt_1FKiwhDph83XaGc0o0/edit?usp=sharing"",""งบพรบ!BI57"")"),0)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IFERROR(__xludf.DUMMYFUNCTION("IMPORTRANGE(""https://docs.google.com/spreadsheets/d/1MeEWN-I1oV_STSDYn1IFDPWt_1FKiwhDph83XaGc0o0/edit?usp=sharing"",""งบพรบ!BK57"")"),0)</f>
        <v>0</v>
      </c>
      <c r="M137" s="90">
        <f ca="1">IFERROR(__xludf.DUMMYFUNCTION("IMPORTRANGE(""https://docs.google.com/spreadsheets/d/1MeEWN-I1oV_STSDYn1IFDPWt_1FKiwhDph83XaGc0o0/edit?usp=sharing"",""งบพรบ!BP57"")"),0)</f>
        <v>0</v>
      </c>
      <c r="N137" s="90">
        <f ca="1">IFERROR(__xludf.DUMMYFUNCTION("IMPORTRANGE(""https://docs.google.com/spreadsheets/d/1MeEWN-I1oV_STSDYn1IFDPWt_1FKiwhDph83XaGc0o0/edit?usp=sharing"",""งบพรบ!BR57"")"),0)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IFERROR(__xludf.DUMMYFUNCTION("IMPORTRANGE(""https://docs.google.com/spreadsheets/d/1MeEWN-I1oV_STSDYn1IFDPWt_1FKiwhDph83XaGc0o0/edit?usp=sharing"",""งบพรบ!BN57"")"),0)</f>
        <v>0</v>
      </c>
      <c r="M140" s="90">
        <f ca="1">IFERROR(__xludf.DUMMYFUNCTION("IMPORTRANGE(""https://docs.google.com/spreadsheets/d/1MeEWN-I1oV_STSDYn1IFDPWt_1FKiwhDph83XaGc0o0/edit?usp=sharing"",""งบพรบ!BQ57"")"),0)</f>
        <v>0</v>
      </c>
      <c r="N140" s="90">
        <f ca="1">IFERROR(__xludf.DUMMYFUNCTION("IMPORTRANGE(""https://docs.google.com/spreadsheets/d/1MeEWN-I1oV_STSDYn1IFDPWt_1FKiwhDph83XaGc0o0/edit?usp=sharing"",""งบพรบ!BS57"")"),0)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IFERROR(__xludf.DUMMYFUNCTION("IMPORTRANGE(""https://docs.google.com/spreadsheets/d/1QqKyyYR6Q21VydFLVH3TRQUabQu_ym0Zz7PgGX0-kHA/edit?usp=sharing"",""แผน!U57"")"),0)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IFERROR(__xludf.DUMMYFUNCTION("IMPORTRANGE(""https://docs.google.com/spreadsheets/d/1QqKyyYR6Q21VydFLVH3TRQUabQu_ym0Zz7PgGX0-kHA/edit?usp=sharing"",""แผน!V57"")"),0)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IFERROR(__xludf.DUMMYFUNCTION("IMPORTRANGE(""https://docs.google.com/spreadsheets/d/1QqKyyYR6Q21VydFLVH3TRQUabQu_ym0Zz7PgGX0-kHA/edit?usp=sharing"",""แผน!W57"")"),0)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10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5000</v>
      </c>
      <c r="M149" s="151">
        <f t="shared" ca="1" si="77"/>
        <v>5000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5000</v>
      </c>
      <c r="M151" s="90">
        <f t="shared" ca="1" si="80"/>
        <v>5000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5000</v>
      </c>
      <c r="M152" s="495">
        <f t="shared" ca="1" si="81"/>
        <v>5000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IFERROR(__xludf.DUMMYFUNCTION("IMPORTRANGE(""https://docs.google.com/spreadsheets/d/1MeEWN-I1oV_STSDYn1IFDPWt_1FKiwhDph83XaGc0o0/edit?usp=sharing"",""งบพรบ!BU57"")"),5000)</f>
        <v>5000</v>
      </c>
      <c r="M154" s="90">
        <f ca="1">IFERROR(__xludf.DUMMYFUNCTION("IMPORTRANGE(""https://docs.google.com/spreadsheets/d/1MeEWN-I1oV_STSDYn1IFDPWt_1FKiwhDph83XaGc0o0/edit?usp=sharing"",""งบพรบ!BZ57"")"),5000)</f>
        <v>5000</v>
      </c>
      <c r="N154" s="90">
        <f ca="1">IFERROR(__xludf.DUMMYFUNCTION("IMPORTRANGE(""https://docs.google.com/spreadsheets/d/1MeEWN-I1oV_STSDYn1IFDPWt_1FKiwhDph83XaGc0o0/edit?usp=sharing"",""งบพรบ!CB57"")"),0)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IFERROR(__xludf.DUMMYFUNCTION("IMPORTRANGE(""https://docs.google.com/spreadsheets/d/1MeEWN-I1oV_STSDYn1IFDPWt_1FKiwhDph83XaGc0o0/edit?usp=sharing"",""งบพรบ!BX57"")"),0)</f>
        <v>0</v>
      </c>
      <c r="M157" s="90">
        <f ca="1">IFERROR(__xludf.DUMMYFUNCTION("IMPORTRANGE(""https://docs.google.com/spreadsheets/d/1MeEWN-I1oV_STSDYn1IFDPWt_1FKiwhDph83XaGc0o0/edit?usp=sharing"",""งบพรบ!CA57"")"),0)</f>
        <v>0</v>
      </c>
      <c r="N157" s="90">
        <f ca="1">IFERROR(__xludf.DUMMYFUNCTION("IMPORTRANGE(""https://docs.google.com/spreadsheets/d/1MeEWN-I1oV_STSDYn1IFDPWt_1FKiwhDph83XaGc0o0/edit?usp=sharing"",""งบพรบ!CC57"")"),0)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IFERROR(__xludf.DUMMYFUNCTION("IMPORTRANGE(""https://docs.google.com/spreadsheets/d/1QqKyyYR6Q21VydFLVH3TRQUabQu_ym0Zz7PgGX0-kHA/edit?usp=sharing"",""แผน!X57"")"),10)</f>
        <v>10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21050</v>
      </c>
      <c r="O165" s="150">
        <f t="shared" ref="O165:O173" ca="1" si="85">IF(L165&gt;0,N165*100/L165,0)</f>
        <v>100</v>
      </c>
      <c r="P165" s="150">
        <f t="shared" ref="P165:P173" ca="1" si="86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21050</v>
      </c>
      <c r="O167" s="90">
        <f t="shared" ca="1" si="85"/>
        <v>100</v>
      </c>
      <c r="P167" s="90">
        <f t="shared" ca="1" si="86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21050</v>
      </c>
      <c r="O168" s="495">
        <f t="shared" ca="1" si="85"/>
        <v>100</v>
      </c>
      <c r="P168" s="495">
        <f t="shared" ca="1" si="86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IFERROR(__xludf.DUMMYFUNCTION("IMPORTRANGE(""https://docs.google.com/spreadsheets/d/1MeEWN-I1oV_STSDYn1IFDPWt_1FKiwhDph83XaGc0o0/edit?usp=sharing"",""งบพรบ!CE57"")"),21050)</f>
        <v>21050</v>
      </c>
      <c r="M170" s="90">
        <f ca="1">IFERROR(__xludf.DUMMYFUNCTION("IMPORTRANGE(""https://docs.google.com/spreadsheets/d/1MeEWN-I1oV_STSDYn1IFDPWt_1FKiwhDph83XaGc0o0/edit?usp=sharing"",""งบพรบ!CJ57"")"),21050)</f>
        <v>21050</v>
      </c>
      <c r="N170" s="90">
        <f ca="1">IFERROR(__xludf.DUMMYFUNCTION("IMPORTRANGE(""https://docs.google.com/spreadsheets/d/1MeEWN-I1oV_STSDYn1IFDPWt_1FKiwhDph83XaGc0o0/edit?usp=sharing"",""งบพรบ!CL57"")"),21050)</f>
        <v>21050</v>
      </c>
      <c r="O170" s="90">
        <f t="shared" ca="1" si="85"/>
        <v>100</v>
      </c>
      <c r="P170" s="90">
        <f t="shared" ca="1" si="86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IFERROR(__xludf.DUMMYFUNCTION("IMPORTRANGE(""https://docs.google.com/spreadsheets/d/1MeEWN-I1oV_STSDYn1IFDPWt_1FKiwhDph83XaGc0o0/edit?usp=sharing"",""งบพรบ!CH57"")"),0)</f>
        <v>0</v>
      </c>
      <c r="M173" s="90">
        <f ca="1">IFERROR(__xludf.DUMMYFUNCTION("IMPORTRANGE(""https://docs.google.com/spreadsheets/d/1MeEWN-I1oV_STSDYn1IFDPWt_1FKiwhDph83XaGc0o0/edit?usp=sharing"",""งบพรบ!CK57"")"),0)</f>
        <v>0</v>
      </c>
      <c r="N173" s="90">
        <f ca="1">IFERROR(__xludf.DUMMYFUNCTION("IMPORTRANGE(""https://docs.google.com/spreadsheets/d/1MeEWN-I1oV_STSDYn1IFDPWt_1FKiwhDph83XaGc0o0/edit?usp=sharing"",""งบพรบ!CM57"")"),0)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IFERROR(__xludf.DUMMYFUNCTION("IMPORTRANGE(""https://docs.google.com/spreadsheets/d/1QqKyyYR6Q21VydFLVH3TRQUabQu_ym0Zz7PgGX0-kHA/edit?usp=sharing"",""แผน!Y57"")"),10)</f>
        <v>10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36100</v>
      </c>
      <c r="M181" s="150">
        <f t="shared" ca="1" si="91"/>
        <v>22000</v>
      </c>
      <c r="N181" s="150">
        <f t="shared" ca="1" si="91"/>
        <v>0</v>
      </c>
      <c r="O181" s="150">
        <f t="shared" ref="O181:O189" ca="1" si="92">IF(L181&gt;0,N181*100/L181,0)</f>
        <v>0</v>
      </c>
      <c r="P181" s="150">
        <f t="shared" ref="P181:P189" ca="1" si="93">IF(M181&gt;0,N181*100/M181,0)</f>
        <v>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36100</v>
      </c>
      <c r="M183" s="90">
        <f t="shared" ca="1" si="94"/>
        <v>22000</v>
      </c>
      <c r="N183" s="90">
        <f t="shared" ca="1" si="94"/>
        <v>0</v>
      </c>
      <c r="O183" s="90">
        <f t="shared" ca="1" si="92"/>
        <v>0</v>
      </c>
      <c r="P183" s="90">
        <f t="shared" ca="1" si="93"/>
        <v>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36100</v>
      </c>
      <c r="M184" s="495">
        <f t="shared" ca="1" si="95"/>
        <v>22000</v>
      </c>
      <c r="N184" s="495">
        <f t="shared" ca="1" si="95"/>
        <v>0</v>
      </c>
      <c r="O184" s="495">
        <f t="shared" ca="1" si="92"/>
        <v>0</v>
      </c>
      <c r="P184" s="495">
        <f t="shared" ca="1" si="93"/>
        <v>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IFERROR(__xludf.DUMMYFUNCTION("IMPORTRANGE(""https://docs.google.com/spreadsheets/d/1MeEWN-I1oV_STSDYn1IFDPWt_1FKiwhDph83XaGc0o0/edit?usp=sharing"",""งบพรบ!CO57"")"),36100)</f>
        <v>36100</v>
      </c>
      <c r="M186" s="90">
        <f ca="1">IFERROR(__xludf.DUMMYFUNCTION("IMPORTRANGE(""https://docs.google.com/spreadsheets/d/1MeEWN-I1oV_STSDYn1IFDPWt_1FKiwhDph83XaGc0o0/edit?usp=sharing"",""งบพรบ!CT57"")"),22000)</f>
        <v>22000</v>
      </c>
      <c r="N186" s="90">
        <f ca="1">IFERROR(__xludf.DUMMYFUNCTION("IMPORTRANGE(""https://docs.google.com/spreadsheets/d/1MeEWN-I1oV_STSDYn1IFDPWt_1FKiwhDph83XaGc0o0/edit?usp=sharing"",""งบพรบ!CV57"")"),0)</f>
        <v>0</v>
      </c>
      <c r="O186" s="90">
        <f t="shared" ca="1" si="92"/>
        <v>0</v>
      </c>
      <c r="P186" s="90">
        <f t="shared" ca="1" si="93"/>
        <v>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IFERROR(__xludf.DUMMYFUNCTION("IMPORTRANGE(""https://docs.google.com/spreadsheets/d/1MeEWN-I1oV_STSDYn1IFDPWt_1FKiwhDph83XaGc0o0/edit?usp=sharing"",""งบพรบ!CR57"")"),0)</f>
        <v>0</v>
      </c>
      <c r="M189" s="90">
        <f ca="1">IFERROR(__xludf.DUMMYFUNCTION("IMPORTRANGE(""https://docs.google.com/spreadsheets/d/1MeEWN-I1oV_STSDYn1IFDPWt_1FKiwhDph83XaGc0o0/edit?usp=sharing"",""งบพรบ!CU57"")"),0)</f>
        <v>0</v>
      </c>
      <c r="N189" s="90">
        <f ca="1">IFERROR(__xludf.DUMMYFUNCTION("IMPORTRANGE(""https://docs.google.com/spreadsheets/d/1MeEWN-I1oV_STSDYn1IFDPWt_1FKiwhDph83XaGc0o0/edit?usp=sharing"",""งบพรบ!CW57"")"),0)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IFERROR(__xludf.DUMMYFUNCTION("IMPORTRANGE(""https://docs.google.com/spreadsheets/d/1QqKyyYR6Q21VydFLVH3TRQUabQu_ym0Zz7PgGX0-kHA/edit?usp=sharing"",""แผน!Z57"")"),6000)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IFERROR(__xludf.DUMMYFUNCTION("IMPORTRANGE(""https://docs.google.com/spreadsheets/d/1QqKyyYR6Q21VydFLVH3TRQUabQu_ym0Zz7PgGX0-kHA/edit?usp=sharing"",""แผน!AC57"")"),4)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1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13000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IFERROR(__xludf.DUMMYFUNCTION("IMPORTRANGE(""https://docs.google.com/spreadsheets/d/1QqKyyYR6Q21VydFLVH3TRQUabQu_ym0Zz7PgGX0-kHA/edit?usp=sharing"",""แผน!AE57"")"),1000)</f>
        <v>1000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IFERROR(__xludf.DUMMYFUNCTION("IMPORTRANGE(""https://docs.google.com/spreadsheets/d/1QqKyyYR6Q21VydFLVH3TRQUabQu_ym0Zz7PgGX0-kHA/edit?usp=sharing"",""แผน!AF57"")"),8000)</f>
        <v>8000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IFERROR(__xludf.DUMMYFUNCTION("IMPORTRANGE(""https://docs.google.com/spreadsheets/d/1QqKyyYR6Q21VydFLVH3TRQUabQu_ym0Zz7PgGX0-kHA/edit?usp=sharing"",""แผน!AG57"")"),4000)</f>
        <v>4000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IFERROR(__xludf.DUMMYFUNCTION("IMPORTRANGE(""https://docs.google.com/spreadsheets/d/1QqKyyYR6Q21VydFLVH3TRQUabQu_ym0Zz7PgGX0-kHA/edit?usp=sharing"",""แผน!AH57"")"),0)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IFERROR(__xludf.DUMMYFUNCTION("IMPORTRANGE(""https://docs.google.com/spreadsheets/d/1QqKyyYR6Q21VydFLVH3TRQUabQu_ym0Zz7PgGX0-kHA/edit?usp=sharing"",""แผน!AI57"")"),1)</f>
        <v>1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1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IFERROR(__xludf.DUMMYFUNCTION("IMPORTRANGE(""https://docs.google.com/spreadsheets/d/1QqKyyYR6Q21VydFLVH3TRQUabQu_ym0Zz7PgGX0-kHA/edit?usp=sharing"",""แผน!AK57"")"),0)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IFERROR(__xludf.DUMMYFUNCTION("IMPORTRANGE(""https://docs.google.com/spreadsheets/d/1QqKyyYR6Q21VydFLVH3TRQUabQu_ym0Zz7PgGX0-kHA/edit?usp=sharing"",""แผน!AL57"")"),0)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IFERROR(__xludf.DUMMYFUNCTION("IMPORTRANGE(""https://docs.google.com/spreadsheets/d/1QqKyyYR6Q21VydFLVH3TRQUabQu_ym0Zz7PgGX0-kHA/edit?usp=sharing"",""แผน!AM57"")"),0)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IFERROR(__xludf.DUMMYFUNCTION("IMPORTRANGE(""https://docs.google.com/spreadsheets/d/1QqKyyYR6Q21VydFLVH3TRQUabQu_ym0Zz7PgGX0-kHA/edit?usp=sharing"",""แผน!AN57"")"),0)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IFERROR(__xludf.DUMMYFUNCTION("IMPORTRANGE(""https://docs.google.com/spreadsheets/d/1QqKyyYR6Q21VydFLVH3TRQUabQu_ym0Zz7PgGX0-kHA/edit?usp=sharing"",""แผน!AN57"")"),0)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12800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17100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IFERROR(__xludf.DUMMYFUNCTION("IMPORTRANGE(""https://docs.google.com/spreadsheets/d/1QqKyyYR6Q21VydFLVH3TRQUabQu_ym0Zz7PgGX0-kHA/edit?usp=sharing"",""แผน!AP57"")"),3000)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IFERROR(__xludf.DUMMYFUNCTION("IMPORTRANGE(""https://docs.google.com/spreadsheets/d/1QqKyyYR6Q21VydFLVH3TRQUabQu_ym0Zz7PgGX0-kHA/edit?usp=sharing"",""แผน!AQ57"")"),4100)</f>
        <v>4100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IFERROR(__xludf.DUMMYFUNCTION("IMPORTRANGE(""https://docs.google.com/spreadsheets/d/1QqKyyYR6Q21VydFLVH3TRQUabQu_ym0Zz7PgGX0-kHA/edit?usp=sharing"",""แผน!AR57"")"),10000)</f>
        <v>10000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IFERROR(__xludf.DUMMYFUNCTION("IMPORTRANGE(""https://docs.google.com/spreadsheets/d/1QqKyyYR6Q21VydFLVH3TRQUabQu_ym0Zz7PgGX0-kHA/edit?usp=sharing"",""แผน!AT57"")"),12800)</f>
        <v>12800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IFERROR(__xludf.DUMMYFUNCTION("IMPORTRANGE(""https://docs.google.com/spreadsheets/d/1QqKyyYR6Q21VydFLVH3TRQUabQu_ym0Zz7PgGX0-kHA/edit?usp=sharing"",""แผน!AT57"")"),12800)</f>
        <v>12800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IFERROR(__xludf.DUMMYFUNCTION("IMPORTRANGE(""https://docs.google.com/spreadsheets/d/1QqKyyYR6Q21VydFLVH3TRQUabQu_ym0Zz7PgGX0-kHA/edit?usp=sharing"",""แผน!AS57"")"),10)</f>
        <v>10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0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IFERROR(__xludf.DUMMYFUNCTION("IMPORTRANGE(""https://docs.google.com/spreadsheets/d/1QqKyyYR6Q21VydFLVH3TRQUabQu_ym0Zz7PgGX0-kHA/edit?usp=sharing"",""แผน!AV57"")"),0)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IFERROR(__xludf.DUMMYFUNCTION("IMPORTRANGE(""https://docs.google.com/spreadsheets/d/1QqKyyYR6Q21VydFLVH3TRQUabQu_ym0Zz7PgGX0-kHA/edit?usp=sharing"",""แผน!AW57"")"),0)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IFERROR(__xludf.DUMMYFUNCTION("IMPORTRANGE(""https://docs.google.com/spreadsheets/d/1QqKyyYR6Q21VydFLVH3TRQUabQu_ym0Zz7PgGX0-kHA/edit?usp=sharing"",""แผน!AX57"")"),0)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IFERROR(__xludf.DUMMYFUNCTION("IMPORTRANGE(""https://docs.google.com/spreadsheets/d/1QqKyyYR6Q21VydFLVH3TRQUabQu_ym0Zz7PgGX0-kHA/edit?usp=sharing"",""แผน!AY57"")"),0)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IFERROR(__xludf.DUMMYFUNCTION("IMPORTRANGE(""https://docs.google.com/spreadsheets/d/1QqKyyYR6Q21VydFLVH3TRQUabQu_ym0Zz7PgGX0-kHA/edit?usp=sharing"",""แผน!BE57"")"),0)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IFERROR(__xludf.DUMMYFUNCTION("IMPORTRANGE(""https://docs.google.com/spreadsheets/d/1QqKyyYR6Q21VydFLVH3TRQUabQu_ym0Zz7PgGX0-kHA/edit?usp=sharing"",""แผน!AZ57"")"),0)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IFERROR(__xludf.DUMMYFUNCTION("IMPORTRANGE(""https://docs.google.com/spreadsheets/d/1QqKyyYR6Q21VydFLVH3TRQUabQu_ym0Zz7PgGX0-kHA/edit?usp=sharing"",""แผน!BA57"")"),0)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IFERROR(__xludf.DUMMYFUNCTION("IMPORTRANGE(""https://docs.google.com/spreadsheets/d/1QqKyyYR6Q21VydFLVH3TRQUabQu_ym0Zz7PgGX0-kHA/edit?usp=sharing"",""แผน!BB57"")"),0)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IFERROR(__xludf.DUMMYFUNCTION("IMPORTRANGE(""https://docs.google.com/spreadsheets/d/1QqKyyYR6Q21VydFLVH3TRQUabQu_ym0Zz7PgGX0-kHA/edit?usp=sharing"",""แผน!BC57"")"),0)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IFERROR(__xludf.DUMMYFUNCTION("IMPORTRANGE(""https://docs.google.com/spreadsheets/d/1QqKyyYR6Q21VydFLVH3TRQUabQu_ym0Zz7PgGX0-kHA/edit?usp=sharing"",""แผน!BF57"")"),"")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IFERROR(__xludf.DUMMYFUNCTION("IMPORTRANGE(""https://docs.google.com/spreadsheets/d/1MeEWN-I1oV_STSDYn1IFDPWt_1FKiwhDph83XaGc0o0/edit?usp=sharing"",""งบพรบ!CY57"")"),26900)</f>
        <v>26900</v>
      </c>
      <c r="M266" s="90">
        <f ca="1">IFERROR(__xludf.DUMMYFUNCTION("IMPORTRANGE(""https://docs.google.com/spreadsheets/d/1MeEWN-I1oV_STSDYn1IFDPWt_1FKiwhDph83XaGc0o0/edit?usp=sharing"",""งบพรบ!DD57"")"),0)</f>
        <v>0</v>
      </c>
      <c r="N266" s="90">
        <f ca="1">IFERROR(__xludf.DUMMYFUNCTION("IMPORTRANGE(""https://docs.google.com/spreadsheets/d/1MeEWN-I1oV_STSDYn1IFDPWt_1FKiwhDph83XaGc0o0/edit?usp=sharing"",""งบพรบ!DF57"")"),0)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IFERROR(__xludf.DUMMYFUNCTION("IMPORTRANGE(""https://docs.google.com/spreadsheets/d/1MeEWN-I1oV_STSDYn1IFDPWt_1FKiwhDph83XaGc0o0/edit?usp=sharing"",""งบพรบ!DB57"")"),0)</f>
        <v>0</v>
      </c>
      <c r="M269" s="90">
        <f ca="1">IFERROR(__xludf.DUMMYFUNCTION("IMPORTRANGE(""https://docs.google.com/spreadsheets/d/1MeEWN-I1oV_STSDYn1IFDPWt_1FKiwhDph83XaGc0o0/edit?usp=sharing"",""งบพรบ!DE57"")"),0)</f>
        <v>0</v>
      </c>
      <c r="N269" s="90">
        <f ca="1">IFERROR(__xludf.DUMMYFUNCTION("IMPORTRANGE(""https://docs.google.com/spreadsheets/d/1MeEWN-I1oV_STSDYn1IFDPWt_1FKiwhDph83XaGc0o0/edit?usp=sharing"",""งบพรบ!DG57"")"),0)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IFERROR(__xludf.DUMMYFUNCTION("IMPORTRANGE(""https://docs.google.com/spreadsheets/d/1QqKyyYR6Q21VydFLVH3TRQUabQu_ym0Zz7PgGX0-kHA/edit?usp=sharing"",""แผน!EA57"")"),22)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0</v>
      </c>
      <c r="M277" s="151">
        <f t="shared" ca="1" si="124"/>
        <v>0</v>
      </c>
      <c r="N277" s="151">
        <f t="shared" ca="1" si="124"/>
        <v>0</v>
      </c>
      <c r="O277" s="151">
        <f t="shared" ref="O277:O285" ca="1" si="125">IF(L277&gt;0,N277*100/L277,0)</f>
        <v>0</v>
      </c>
      <c r="P277" s="151">
        <f t="shared" ref="P277:P285" ca="1" si="126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0</v>
      </c>
      <c r="M279" s="90">
        <f t="shared" ca="1" si="127"/>
        <v>0</v>
      </c>
      <c r="N279" s="90">
        <f t="shared" ca="1" si="127"/>
        <v>0</v>
      </c>
      <c r="O279" s="90">
        <f t="shared" ca="1" si="125"/>
        <v>0</v>
      </c>
      <c r="P279" s="90">
        <f t="shared" ca="1" si="126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0</v>
      </c>
      <c r="M280" s="495">
        <f t="shared" ca="1" si="128"/>
        <v>0</v>
      </c>
      <c r="N280" s="495">
        <f t="shared" ca="1" si="128"/>
        <v>0</v>
      </c>
      <c r="O280" s="495">
        <f t="shared" ca="1" si="125"/>
        <v>0</v>
      </c>
      <c r="P280" s="495">
        <f t="shared" ca="1" si="126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IFERROR(__xludf.DUMMYFUNCTION("IMPORTRANGE(""https://docs.google.com/spreadsheets/d/1MeEWN-I1oV_STSDYn1IFDPWt_1FKiwhDph83XaGc0o0/edit?usp=sharing"",""งบพรบ!DI57"")"),0)</f>
        <v>0</v>
      </c>
      <c r="M282" s="90">
        <f ca="1">IFERROR(__xludf.DUMMYFUNCTION("IMPORTRANGE(""https://docs.google.com/spreadsheets/d/1MeEWN-I1oV_STSDYn1IFDPWt_1FKiwhDph83XaGc0o0/edit?usp=sharing"",""งบพรบ!DN57"")"),0)</f>
        <v>0</v>
      </c>
      <c r="N282" s="90">
        <f ca="1">IFERROR(__xludf.DUMMYFUNCTION("IMPORTRANGE(""https://docs.google.com/spreadsheets/d/1MeEWN-I1oV_STSDYn1IFDPWt_1FKiwhDph83XaGc0o0/edit?usp=sharing"",""งบพรบ!DP57"")"),0)</f>
        <v>0</v>
      </c>
      <c r="O282" s="90">
        <f t="shared" ca="1" si="125"/>
        <v>0</v>
      </c>
      <c r="P282" s="90">
        <f t="shared" ca="1" si="126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IFERROR(__xludf.DUMMYFUNCTION("IMPORTRANGE(""https://docs.google.com/spreadsheets/d/1MeEWN-I1oV_STSDYn1IFDPWt_1FKiwhDph83XaGc0o0/edit?usp=sharing"",""งบพรบ!DL57"")"),0)</f>
        <v>0</v>
      </c>
      <c r="M285" s="90">
        <f ca="1">IFERROR(__xludf.DUMMYFUNCTION("IMPORTRANGE(""https://docs.google.com/spreadsheets/d/1MeEWN-I1oV_STSDYn1IFDPWt_1FKiwhDph83XaGc0o0/edit?usp=sharing"",""งบพรบ!DO57"")"),0)</f>
        <v>0</v>
      </c>
      <c r="N285" s="90">
        <f ca="1">IFERROR(__xludf.DUMMYFUNCTION("IMPORTRANGE(""https://docs.google.com/spreadsheets/d/1MeEWN-I1oV_STSDYn1IFDPWt_1FKiwhDph83XaGc0o0/edit?usp=sharing"",""งบพรบ!DQ57"")"),0)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IFERROR(__xludf.DUMMYFUNCTION("IMPORTRANGE(""https://docs.google.com/spreadsheets/d/1QqKyyYR6Q21VydFLVH3TRQUabQu_ym0Zz7PgGX0-kHA/edit?usp=sharing"",""แผน!EC57"")"),0)</f>
        <v>0</v>
      </c>
      <c r="J287" s="264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IFERROR(__xludf.DUMMYFUNCTION("IMPORTRANGE(""https://docs.google.com/spreadsheets/d/1QqKyyYR6Q21VydFLVH3TRQUabQu_ym0Zz7PgGX0-kHA/edit?usp=sharing"",""แผน!EB57"")"),0)</f>
        <v>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IFERROR(__xludf.DUMMYFUNCTION("IMPORTRANGE(""https://docs.google.com/spreadsheets/d/1QqKyyYR6Q21VydFLVH3TRQUabQu_ym0Zz7PgGX0-kHA/edit?usp=sharing"",""แผน!EB57"")"),0)</f>
        <v>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IFERROR(__xludf.DUMMYFUNCTION("IMPORTRANGE(""https://docs.google.com/spreadsheets/d/1QqKyyYR6Q21VydFLVH3TRQUabQu_ym0Zz7PgGX0-kHA/edit?usp=sharing"",""แผน!EB57"")"),0)</f>
        <v>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IFERROR(__xludf.DUMMYFUNCTION("IMPORTRANGE(""https://docs.google.com/spreadsheets/d/1QqKyyYR6Q21VydFLVH3TRQUabQu_ym0Zz7PgGX0-kHA/edit?usp=sharing"",""แผน!EB57"")"),0)</f>
        <v>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IFERROR(__xludf.DUMMYFUNCTION("IMPORTRANGE(""https://docs.google.com/spreadsheets/d/1QqKyyYR6Q21VydFLVH3TRQUabQu_ym0Zz7PgGX0-kHA/edit?usp=sharing"",""แผน!EB57"")"),0)</f>
        <v>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20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82400</v>
      </c>
      <c r="M298" s="151">
        <f t="shared" ca="1" si="134"/>
        <v>49120</v>
      </c>
      <c r="N298" s="151">
        <f t="shared" ca="1" si="134"/>
        <v>0</v>
      </c>
      <c r="O298" s="151">
        <f t="shared" ref="O298:O306" ca="1" si="135">IF(L298&gt;0,N298*100/L298,0)</f>
        <v>0</v>
      </c>
      <c r="P298" s="151">
        <f t="shared" ref="P298:P306" ca="1" si="136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82400</v>
      </c>
      <c r="M300" s="90">
        <f t="shared" ca="1" si="137"/>
        <v>49120</v>
      </c>
      <c r="N300" s="90">
        <f t="shared" ca="1" si="137"/>
        <v>0</v>
      </c>
      <c r="O300" s="90">
        <f t="shared" ca="1" si="135"/>
        <v>0</v>
      </c>
      <c r="P300" s="90">
        <f t="shared" ca="1" si="136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82400</v>
      </c>
      <c r="M301" s="495">
        <f t="shared" ca="1" si="138"/>
        <v>49120</v>
      </c>
      <c r="N301" s="495">
        <f t="shared" ca="1" si="138"/>
        <v>0</v>
      </c>
      <c r="O301" s="495">
        <f t="shared" ca="1" si="135"/>
        <v>0</v>
      </c>
      <c r="P301" s="495">
        <f t="shared" ca="1" si="136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IFERROR(__xludf.DUMMYFUNCTION("IMPORTRANGE(""https://docs.google.com/spreadsheets/d/1MeEWN-I1oV_STSDYn1IFDPWt_1FKiwhDph83XaGc0o0/edit?usp=sharing"",""งบพรบ!DS57"")"),82400)</f>
        <v>82400</v>
      </c>
      <c r="M303" s="90">
        <f ca="1">IFERROR(__xludf.DUMMYFUNCTION("IMPORTRANGE(""https://docs.google.com/spreadsheets/d/1MeEWN-I1oV_STSDYn1IFDPWt_1FKiwhDph83XaGc0o0/edit?usp=sharing"",""งบพรบ!DX57"")"),49120)</f>
        <v>49120</v>
      </c>
      <c r="N303" s="90">
        <f ca="1">IFERROR(__xludf.DUMMYFUNCTION("IMPORTRANGE(""https://docs.google.com/spreadsheets/d/1MeEWN-I1oV_STSDYn1IFDPWt_1FKiwhDph83XaGc0o0/edit?usp=sharing"",""งบพรบ!DZ57"")"),0)</f>
        <v>0</v>
      </c>
      <c r="O303" s="90">
        <f t="shared" ca="1" si="135"/>
        <v>0</v>
      </c>
      <c r="P303" s="90">
        <f t="shared" ca="1" si="136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IFERROR(__xludf.DUMMYFUNCTION("IMPORTRANGE(""https://docs.google.com/spreadsheets/d/1MeEWN-I1oV_STSDYn1IFDPWt_1FKiwhDph83XaGc0o0/edit?usp=sharing"",""งบพรบ!DV57"")"),0)</f>
        <v>0</v>
      </c>
      <c r="M306" s="90">
        <f ca="1">IFERROR(__xludf.DUMMYFUNCTION("IMPORTRANGE(""https://docs.google.com/spreadsheets/d/1MeEWN-I1oV_STSDYn1IFDPWt_1FKiwhDph83XaGc0o0/edit?usp=sharing"",""งบพรบ!DY57"")"),0)</f>
        <v>0</v>
      </c>
      <c r="N306" s="90">
        <f ca="1">IFERROR(__xludf.DUMMYFUNCTION("IMPORTRANGE(""https://docs.google.com/spreadsheets/d/1MeEWN-I1oV_STSDYn1IFDPWt_1FKiwhDph83XaGc0o0/edit?usp=sharing"",""งบพรบ!EA57"")"),0)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IFERROR(__xludf.DUMMYFUNCTION("IMPORTRANGE(""https://docs.google.com/spreadsheets/d/1QqKyyYR6Q21VydFLVH3TRQUabQu_ym0Zz7PgGX0-kHA/edit?usp=sharing"",""แผน!ED57"")"),20)</f>
        <v>20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IFERROR(__xludf.DUMMYFUNCTION("IMPORTRANGE(""https://docs.google.com/spreadsheets/d/1QqKyyYR6Q21VydFLVH3TRQUabQu_ym0Zz7PgGX0-kHA/edit?usp=sharing"",""แผน!ED57"")"),20)</f>
        <v>20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IFERROR(__xludf.DUMMYFUNCTION("IMPORTRANGE(""https://docs.google.com/spreadsheets/d/1QqKyyYR6Q21VydFLVH3TRQUabQu_ym0Zz7PgGX0-kHA/edit?usp=sharing"",""แผน!ED57"")"),20)</f>
        <v>20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IFERROR(__xludf.DUMMYFUNCTION("IMPORTRANGE(""https://docs.google.com/spreadsheets/d/1QqKyyYR6Q21VydFLVH3TRQUabQu_ym0Zz7PgGX0-kHA/edit?usp=sharing"",""แผน!EE57"")"),4)</f>
        <v>4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IFERROR(__xludf.DUMMYFUNCTION("IMPORTRANGE(""https://docs.google.com/spreadsheets/d/1MeEWN-I1oV_STSDYn1IFDPWt_1FKiwhDph83XaGc0o0/edit?usp=sharing"",""งบพรบ!EC57"")"),0)</f>
        <v>0</v>
      </c>
      <c r="M320" s="90">
        <f ca="1">IFERROR(__xludf.DUMMYFUNCTION("IMPORTRANGE(""https://docs.google.com/spreadsheets/d/1MeEWN-I1oV_STSDYn1IFDPWt_1FKiwhDph83XaGc0o0/edit?usp=sharing"",""งบพรบ!EH57"")"),0)</f>
        <v>0</v>
      </c>
      <c r="N320" s="90">
        <f ca="1">IFERROR(__xludf.DUMMYFUNCTION("IMPORTRANGE(""https://docs.google.com/spreadsheets/d/1MeEWN-I1oV_STSDYn1IFDPWt_1FKiwhDph83XaGc0o0/edit?usp=sharing"",""งบพรบ!EJ57"")"),0)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IFERROR(__xludf.DUMMYFUNCTION("IMPORTRANGE(""https://docs.google.com/spreadsheets/d/1MeEWN-I1oV_STSDYn1IFDPWt_1FKiwhDph83XaGc0o0/edit?usp=sharing"",""งบพรบ!EF57"")"),0)</f>
        <v>0</v>
      </c>
      <c r="M323" s="90">
        <f ca="1">IFERROR(__xludf.DUMMYFUNCTION("IMPORTRANGE(""https://docs.google.com/spreadsheets/d/1MeEWN-I1oV_STSDYn1IFDPWt_1FKiwhDph83XaGc0o0/edit?usp=sharing"",""งบพรบ!EI57"")"),0)</f>
        <v>0</v>
      </c>
      <c r="N323" s="90">
        <f ca="1">IFERROR(__xludf.DUMMYFUNCTION("IMPORTRANGE(""https://docs.google.com/spreadsheets/d/1MeEWN-I1oV_STSDYn1IFDPWt_1FKiwhDph83XaGc0o0/edit?usp=sharing"",""งบพรบ!EK57"")"),0)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IFERROR(__xludf.DUMMYFUNCTION("IMPORTRANGE(""https://docs.google.com/spreadsheets/d/1QqKyyYR6Q21VydFLVH3TRQUabQu_ym0Zz7PgGX0-kHA/edit?usp=sharing"",""แผน!EF57"")"),0)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IFERROR(__xludf.DUMMYFUNCTION("IMPORTRANGE(""https://docs.google.com/spreadsheets/d/1QqKyyYR6Q21VydFLVH3TRQUabQu_ym0Zz7PgGX0-kHA/edit?usp=sharing"",""แผน!EG57"")"),800)</f>
        <v>800</v>
      </c>
      <c r="J327" s="442">
        <f ca="1">J338+J341+J342+J343</f>
        <v>222</v>
      </c>
      <c r="K327" s="443">
        <f ca="1">IF(I327&gt;0,J327*100/I327,0)</f>
        <v>27.75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163000</v>
      </c>
      <c r="M328" s="151">
        <f t="shared" ca="1" si="148"/>
        <v>81500</v>
      </c>
      <c r="N328" s="151">
        <f t="shared" ca="1" si="148"/>
        <v>12000</v>
      </c>
      <c r="O328" s="151">
        <f t="shared" ref="O328:O336" ca="1" si="149">IF(L328&gt;0,N328*100/L328,0)</f>
        <v>7.3619631901840492</v>
      </c>
      <c r="P328" s="151">
        <f t="shared" ref="P328:P336" ca="1" si="150">IF(M328&gt;0,N328*100/M328,0)</f>
        <v>14.723926380368098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163000</v>
      </c>
      <c r="M330" s="90">
        <f t="shared" ca="1" si="151"/>
        <v>81500</v>
      </c>
      <c r="N330" s="90">
        <f t="shared" ca="1" si="151"/>
        <v>12000</v>
      </c>
      <c r="O330" s="90">
        <f t="shared" ca="1" si="149"/>
        <v>7.3619631901840492</v>
      </c>
      <c r="P330" s="90">
        <f t="shared" ca="1" si="150"/>
        <v>14.723926380368098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163000</v>
      </c>
      <c r="M331" s="495">
        <f t="shared" ca="1" si="152"/>
        <v>81500</v>
      </c>
      <c r="N331" s="495">
        <f t="shared" ca="1" si="152"/>
        <v>12000</v>
      </c>
      <c r="O331" s="495">
        <f t="shared" ca="1" si="149"/>
        <v>7.3619631901840492</v>
      </c>
      <c r="P331" s="495">
        <f t="shared" ca="1" si="150"/>
        <v>14.723926380368098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IFERROR(__xludf.DUMMYFUNCTION("IMPORTRANGE(""https://docs.google.com/spreadsheets/d/1MeEWN-I1oV_STSDYn1IFDPWt_1FKiwhDph83XaGc0o0/edit?usp=sharing"",""งบพรบ!EM57"")"),163000)</f>
        <v>163000</v>
      </c>
      <c r="M333" s="90">
        <f ca="1">IFERROR(__xludf.DUMMYFUNCTION("IMPORTRANGE(""https://docs.google.com/spreadsheets/d/1MeEWN-I1oV_STSDYn1IFDPWt_1FKiwhDph83XaGc0o0/edit?usp=sharing"",""งบพรบ!ER57"")"),81500)</f>
        <v>81500</v>
      </c>
      <c r="N333" s="90">
        <f ca="1">IFERROR(__xludf.DUMMYFUNCTION("IMPORTRANGE(""https://docs.google.com/spreadsheets/d/1MeEWN-I1oV_STSDYn1IFDPWt_1FKiwhDph83XaGc0o0/edit?usp=sharing"",""งบพรบ!ET57"")"),12000)</f>
        <v>12000</v>
      </c>
      <c r="O333" s="90">
        <f t="shared" ca="1" si="149"/>
        <v>7.3619631901840492</v>
      </c>
      <c r="P333" s="90">
        <f t="shared" ca="1" si="150"/>
        <v>14.723926380368098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IFERROR(__xludf.DUMMYFUNCTION("IMPORTRANGE(""https://docs.google.com/spreadsheets/d/1MeEWN-I1oV_STSDYn1IFDPWt_1FKiwhDph83XaGc0o0/edit?usp=sharing"",""งบพรบ!EP57"")"),0)</f>
        <v>0</v>
      </c>
      <c r="M336" s="90">
        <f ca="1">IFERROR(__xludf.DUMMYFUNCTION("IMPORTRANGE(""https://docs.google.com/spreadsheets/d/1MeEWN-I1oV_STSDYn1IFDPWt_1FKiwhDph83XaGc0o0/edit?usp=sharing"",""งบพรบ!ES57"")"),0)</f>
        <v>0</v>
      </c>
      <c r="N336" s="90">
        <f ca="1">IFERROR(__xludf.DUMMYFUNCTION("IMPORTRANGE(""https://docs.google.com/spreadsheets/d/1MeEWN-I1oV_STSDYn1IFDPWt_1FKiwhDph83XaGc0o0/edit?usp=sharing"",""งบพรบ!EU57"")"),0)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IFERROR(__xludf.DUMMYFUNCTION("IMPORTRANGE(""https://docs.google.com/spreadsheets/d/1QqKyyYR6Q21VydFLVH3TRQUabQu_ym0Zz7PgGX0-kHA/edit?usp=sharing"",""แผน!EG57"")"),800)</f>
        <v>800</v>
      </c>
      <c r="J338" s="264">
        <f ca="1">IFERROR(__xludf.DUMMYFUNCTION("IMPORTRANGE(""https://docs.google.com/spreadsheets/d/1kVcqe37tkHyjCSG3S0O1AXqVkqjo8mSIZil3BcpIysc/edit?usp=sharing"",""ศูนย์!D57"")"),222)</f>
        <v>222</v>
      </c>
      <c r="K338" s="495">
        <f ca="1">IF(I338&gt;0,J338*100/I338,0)</f>
        <v>27.75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IFERROR(__xludf.DUMMYFUNCTION("IMPORTRANGE(""https://docs.google.com/spreadsheets/d/1QqKyyYR6Q21VydFLVH3TRQUabQu_ym0Zz7PgGX0-kHA/edit?usp=sharing"",""แผน!EH57"")"),5)</f>
        <v>5</v>
      </c>
      <c r="J340" s="264">
        <f ca="1">IFERROR(__xludf.DUMMYFUNCTION("IMPORTRANGE(""https://docs.google.com/spreadsheets/d/1kVcqe37tkHyjCSG3S0O1AXqVkqjo8mSIZil3BcpIysc/edit?usp=sharing"",""ศูนย์!E57"")"),0)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IFERROR(__xludf.DUMMYFUNCTION("IMPORTRANGE(""https://docs.google.com/spreadsheets/d/1kVcqe37tkHyjCSG3S0O1AXqVkqjo8mSIZil3BcpIysc/edit?usp=sharing"",""ศูนย์!F57"")"),0)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IFERROR(__xludf.DUMMYFUNCTION("IMPORTRANGE(""https://docs.google.com/spreadsheets/d/1kVcqe37tkHyjCSG3S0O1AXqVkqjo8mSIZil3BcpIysc/edit?usp=sharing"",""ศูนย์!G57"")"),0)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IFERROR(__xludf.DUMMYFUNCTION("IMPORTRANGE(""https://docs.google.com/spreadsheets/d/1kVcqe37tkHyjCSG3S0O1AXqVkqjo8mSIZil3BcpIysc/edit?usp=sharing"",""ศูนย์!H57"")"),0)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400550</v>
      </c>
      <c r="M345" s="151">
        <f t="shared" ca="1" si="154"/>
        <v>237330</v>
      </c>
      <c r="N345" s="151">
        <f t="shared" ca="1" si="154"/>
        <v>119943</v>
      </c>
      <c r="O345" s="151">
        <f t="shared" ref="O345:O353" ca="1" si="155">IF(L345&gt;0,N345*100/L345,0)</f>
        <v>29.944576207714391</v>
      </c>
      <c r="P345" s="151">
        <f t="shared" ref="P345:P353" ca="1" si="156">IF(M345&gt;0,N345*100/M345,0)</f>
        <v>50.538490709139175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400550</v>
      </c>
      <c r="M347" s="90">
        <f t="shared" ca="1" si="157"/>
        <v>237330</v>
      </c>
      <c r="N347" s="90">
        <f t="shared" ca="1" si="157"/>
        <v>119943</v>
      </c>
      <c r="O347" s="90">
        <f t="shared" ca="1" si="155"/>
        <v>29.944576207714391</v>
      </c>
      <c r="P347" s="90">
        <f t="shared" ca="1" si="156"/>
        <v>50.538490709139175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326450</v>
      </c>
      <c r="M348" s="495">
        <f t="shared" ca="1" si="158"/>
        <v>163230</v>
      </c>
      <c r="N348" s="495">
        <f t="shared" ca="1" si="158"/>
        <v>45843</v>
      </c>
      <c r="O348" s="495">
        <f t="shared" ca="1" si="155"/>
        <v>14.042885587379384</v>
      </c>
      <c r="P348" s="495">
        <f t="shared" ca="1" si="156"/>
        <v>28.084910861973903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IFERROR(__xludf.DUMMYFUNCTION("IMPORTRANGE(""https://docs.google.com/spreadsheets/d/1MeEWN-I1oV_STSDYn1IFDPWt_1FKiwhDph83XaGc0o0/edit?usp=sharing"",""งบพรบ!EW57"")"),326450)</f>
        <v>326450</v>
      </c>
      <c r="M350" s="90">
        <f ca="1">IFERROR(__xludf.DUMMYFUNCTION("IMPORTRANGE(""https://docs.google.com/spreadsheets/d/1MeEWN-I1oV_STSDYn1IFDPWt_1FKiwhDph83XaGc0o0/edit?usp=sharing"",""งบพรบ!FB57"")"),163230)</f>
        <v>163230</v>
      </c>
      <c r="N350" s="90">
        <f ca="1">IFERROR(__xludf.DUMMYFUNCTION("IMPORTRANGE(""https://docs.google.com/spreadsheets/d/1MeEWN-I1oV_STSDYn1IFDPWt_1FKiwhDph83XaGc0o0/edit?usp=sharing"",""งบพรบ!FD57"")"),45843)</f>
        <v>45843</v>
      </c>
      <c r="O350" s="90">
        <f t="shared" ca="1" si="155"/>
        <v>14.042885587379384</v>
      </c>
      <c r="P350" s="90">
        <f t="shared" ca="1" si="156"/>
        <v>28.084910861973903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74100</v>
      </c>
      <c r="M351" s="495">
        <f t="shared" ca="1" si="159"/>
        <v>74100</v>
      </c>
      <c r="N351" s="495">
        <f t="shared" ca="1" si="159"/>
        <v>74100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IFERROR(__xludf.DUMMYFUNCTION("IMPORTRANGE(""https://docs.google.com/spreadsheets/d/1MeEWN-I1oV_STSDYn1IFDPWt_1FKiwhDph83XaGc0o0/edit?usp=sharing"",""งบพรบ!EZ57"")"),74100)</f>
        <v>74100</v>
      </c>
      <c r="M353" s="90">
        <f ca="1">IFERROR(__xludf.DUMMYFUNCTION("IMPORTRANGE(""https://docs.google.com/spreadsheets/d/1MeEWN-I1oV_STSDYn1IFDPWt_1FKiwhDph83XaGc0o0/edit?usp=sharing"",""งบพรบ!FC57"")"),74100)</f>
        <v>74100</v>
      </c>
      <c r="N353" s="90">
        <f ca="1">IFERROR(__xludf.DUMMYFUNCTION("IMPORTRANGE(""https://docs.google.com/spreadsheets/d/1MeEWN-I1oV_STSDYn1IFDPWt_1FKiwhDph83XaGc0o0/edit?usp=sharing"",""งบพรบ!FE57"")"),74100)</f>
        <v>74100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IFERROR(__xludf.DUMMYFUNCTION("IMPORTRANGE(""https://docs.google.com/spreadsheets/d/1QqKyyYR6Q21VydFLVH3TRQUabQu_ym0Zz7PgGX0-kHA/edit?usp=sharing"",""แผน!EP57"")"),32)</f>
        <v>32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IFERROR(__xludf.DUMMYFUNCTION("IMPORTRANGE(""https://docs.google.com/spreadsheets/d/1XWAQStnk-4SwqDmLtmXYiTMKHgktTP8We1SCoS47DrQ/edit?usp=sharing"",""จัดที่ดิน!W57"")"),0)</f>
        <v>0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IFERROR(__xludf.DUMMYFUNCTION("IMPORTRANGE(""https://docs.google.com/spreadsheets/d/1QqKyyYR6Q21VydFLVH3TRQUabQu_ym0Zz7PgGX0-kHA/edit?usp=sharing"",""แผน!EO57"")"),320)</f>
        <v>320</v>
      </c>
      <c r="J359" s="264">
        <f ca="1">IFERROR(__xludf.DUMMYFUNCTION("IMPORTRANGE(""https://docs.google.com/spreadsheets/d/1XWAQStnk-4SwqDmLtmXYiTMKHgktTP8We1SCoS47DrQ/edit?usp=sharing"",""จัดที่ดิน!X57"")"),0)</f>
        <v>0</v>
      </c>
      <c r="K359" s="495">
        <f t="shared" ca="1" si="160"/>
        <v>0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IFERROR(__xludf.DUMMYFUNCTION("IMPORTRANGE(""https://docs.google.com/spreadsheets/d/1QqKyyYR6Q21VydFLVH3TRQUabQu_ym0Zz7PgGX0-kHA/edit?usp=sharing"",""แผน!EP57"")"),32)</f>
        <v>32</v>
      </c>
      <c r="J360" s="264">
        <f ca="1">IFERROR(__xludf.DUMMYFUNCTION("IMPORTRANGE(""https://docs.google.com/spreadsheets/d/1XWAQStnk-4SwqDmLtmXYiTMKHgktTP8We1SCoS47DrQ/edit?usp=sharing"",""จัดที่ดิน!Y57"")"),0)</f>
        <v>0</v>
      </c>
      <c r="K360" s="495">
        <f t="shared" ca="1" si="160"/>
        <v>0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IFERROR(__xludf.DUMMYFUNCTION("IMPORTRANGE(""https://docs.google.com/spreadsheets/d/1XWAQStnk-4SwqDmLtmXYiTMKHgktTP8We1SCoS47DrQ/edit?usp=sharing"",""จัดที่ดิน!Z57"")"),0)</f>
        <v>0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IFERROR(__xludf.DUMMYFUNCTION("IMPORTRANGE(""https://docs.google.com/spreadsheets/d/1QqKyyYR6Q21VydFLVH3TRQUabQu_ym0Zz7PgGX0-kHA/edit?usp=sharing"",""แผน!EP57"")"),32)</f>
        <v>32</v>
      </c>
      <c r="J362" s="264">
        <f ca="1">IFERROR(__xludf.DUMMYFUNCTION("IMPORTRANGE(""https://docs.google.com/spreadsheets/d/1XWAQStnk-4SwqDmLtmXYiTMKHgktTP8We1SCoS47DrQ/edit?usp=sharing"",""จัดที่ดิน!AA57"")"),0)</f>
        <v>0</v>
      </c>
      <c r="K362" s="495">
        <f t="shared" ca="1" si="160"/>
        <v>0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IFERROR(__xludf.DUMMYFUNCTION("IMPORTRANGE(""https://docs.google.com/spreadsheets/d/1XWAQStnk-4SwqDmLtmXYiTMKHgktTP8We1SCoS47DrQ/edit?usp=sharing"",""จัดที่ดิน!AB57"")"),0)</f>
        <v>0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142</v>
      </c>
      <c r="J364" s="476">
        <f t="shared" ca="1" si="161"/>
        <v>0</v>
      </c>
      <c r="K364" s="477">
        <f t="shared" ca="1" si="160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IFERROR(__xludf.DUMMYFUNCTION("IMPORTRANGE(""https://docs.google.com/spreadsheets/d/1QqKyyYR6Q21VydFLVH3TRQUabQu_ym0Zz7PgGX0-kHA/edit?usp=sharing"",""แผน!EJ57"")"),2)</f>
        <v>2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IFERROR(__xludf.DUMMYFUNCTION("IMPORTRANGE(""https://docs.google.com/spreadsheets/d/1XWAQStnk-4SwqDmLtmXYiTMKHgktTP8We1SCoS47DrQ/edit?usp=sharing"",""จัดที่ดิน!E57"")"),0)</f>
        <v>0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IFERROR(__xludf.DUMMYFUNCTION("IMPORTRANGE(""https://docs.google.com/spreadsheets/d/1QqKyyYR6Q21VydFLVH3TRQUabQu_ym0Zz7PgGX0-kHA/edit?usp=sharing"",""แผน!EI57"")"),20)</f>
        <v>20</v>
      </c>
      <c r="J369" s="264">
        <f ca="1">IFERROR(__xludf.DUMMYFUNCTION("IMPORTRANGE(""https://docs.google.com/spreadsheets/d/1XWAQStnk-4SwqDmLtmXYiTMKHgktTP8We1SCoS47DrQ/edit?usp=sharing"",""จัดที่ดิน!F57"")"),0)</f>
        <v>0</v>
      </c>
      <c r="K369" s="495">
        <f t="shared" ca="1" si="162"/>
        <v>0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IFERROR(__xludf.DUMMYFUNCTION("IMPORTRANGE(""https://docs.google.com/spreadsheets/d/1QqKyyYR6Q21VydFLVH3TRQUabQu_ym0Zz7PgGX0-kHA/edit?usp=sharing"",""แผน!EJ57"")"),2)</f>
        <v>2</v>
      </c>
      <c r="J370" s="264">
        <f ca="1">IFERROR(__xludf.DUMMYFUNCTION("IMPORTRANGE(""https://docs.google.com/spreadsheets/d/1XWAQStnk-4SwqDmLtmXYiTMKHgktTP8We1SCoS47DrQ/edit?usp=sharing"",""จัดที่ดิน!G57"")"),0)</f>
        <v>0</v>
      </c>
      <c r="K370" s="495">
        <f t="shared" ca="1" si="162"/>
        <v>0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IFERROR(__xludf.DUMMYFUNCTION("IMPORTRANGE(""https://docs.google.com/spreadsheets/d/1XWAQStnk-4SwqDmLtmXYiTMKHgktTP8We1SCoS47DrQ/edit?usp=sharing"",""จัดที่ดิน!H57"")"),0)</f>
        <v>0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IFERROR(__xludf.DUMMYFUNCTION("IMPORTRANGE(""https://docs.google.com/spreadsheets/d/1QqKyyYR6Q21VydFLVH3TRQUabQu_ym0Zz7PgGX0-kHA/edit?usp=sharing"",""แผน!EJ57"")"),2)</f>
        <v>2</v>
      </c>
      <c r="J372" s="264">
        <f ca="1">IFERROR(__xludf.DUMMYFUNCTION("IMPORTRANGE(""https://docs.google.com/spreadsheets/d/1XWAQStnk-4SwqDmLtmXYiTMKHgktTP8We1SCoS47DrQ/edit?usp=sharing"",""จัดที่ดิน!I57"")"),0)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IFERROR(__xludf.DUMMYFUNCTION("IMPORTRANGE(""https://docs.google.com/spreadsheets/d/1XWAQStnk-4SwqDmLtmXYiTMKHgktTP8We1SCoS47DrQ/edit?usp=sharing"",""จัดที่ดิน!J57"")"),0)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IFERROR(__xludf.DUMMYFUNCTION("IMPORTRANGE(""https://docs.google.com/spreadsheets/d/1QqKyyYR6Q21VydFLVH3TRQUabQu_ym0Zz7PgGX0-kHA/edit?usp=sharing"",""แผน!EU57"")"),140)</f>
        <v>140</v>
      </c>
      <c r="J374" s="488">
        <f ca="1">J381</f>
        <v>0</v>
      </c>
      <c r="K374" s="489">
        <f t="shared" ca="1" si="162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IFERROR(__xludf.DUMMYFUNCTION("IMPORTRANGE(""https://docs.google.com/spreadsheets/d/1XWAQStnk-4SwqDmLtmXYiTMKHgktTP8We1SCoS47DrQ/edit?usp=sharing"",""จัดที่ดิน!AH57"")"),0)</f>
        <v>0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IFERROR(__xludf.DUMMYFUNCTION("IMPORTRANGE(""https://docs.google.com/spreadsheets/d/1QqKyyYR6Q21VydFLVH3TRQUabQu_ym0Zz7PgGX0-kHA/edit?usp=sharing"",""แผน!ET57"")"),300)</f>
        <v>300</v>
      </c>
      <c r="J378" s="264">
        <f ca="1">IFERROR(__xludf.DUMMYFUNCTION("IMPORTRANGE(""https://docs.google.com/spreadsheets/d/1XWAQStnk-4SwqDmLtmXYiTMKHgktTP8We1SCoS47DrQ/edit?usp=sharing"",""จัดที่ดิน!AI57"")"),0)</f>
        <v>0</v>
      </c>
      <c r="K378" s="495">
        <f t="shared" ca="1" si="163"/>
        <v>0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IFERROR(__xludf.DUMMYFUNCTION("IMPORTRANGE(""https://docs.google.com/spreadsheets/d/1QqKyyYR6Q21VydFLVH3TRQUabQu_ym0Zz7PgGX0-kHA/edit?usp=sharing"",""แผน!EU57"")"),140)</f>
        <v>140</v>
      </c>
      <c r="J379" s="264">
        <f ca="1">IFERROR(__xludf.DUMMYFUNCTION("IMPORTRANGE(""https://docs.google.com/spreadsheets/d/1XWAQStnk-4SwqDmLtmXYiTMKHgktTP8We1SCoS47DrQ/edit?usp=sharing"",""จัดที่ดิน!AJ57"")"),0)</f>
        <v>0</v>
      </c>
      <c r="K379" s="495">
        <f t="shared" ca="1" si="163"/>
        <v>0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IFERROR(__xludf.DUMMYFUNCTION("IMPORTRANGE(""https://docs.google.com/spreadsheets/d/1XWAQStnk-4SwqDmLtmXYiTMKHgktTP8We1SCoS47DrQ/edit?usp=sharing"",""จัดที่ดิน!AK57"")"),0)</f>
        <v>0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IFERROR(__xludf.DUMMYFUNCTION("IMPORTRANGE(""https://docs.google.com/spreadsheets/d/1QqKyyYR6Q21VydFLVH3TRQUabQu_ym0Zz7PgGX0-kHA/edit?usp=sharing"",""แผน!EU57"")"),140)</f>
        <v>140</v>
      </c>
      <c r="J381" s="264">
        <f ca="1">IFERROR(__xludf.DUMMYFUNCTION("IMPORTRANGE(""https://docs.google.com/spreadsheets/d/1XWAQStnk-4SwqDmLtmXYiTMKHgktTP8We1SCoS47DrQ/edit?usp=sharing"",""จัดที่ดิน!AL57"")"),0)</f>
        <v>0</v>
      </c>
      <c r="K381" s="495">
        <f t="shared" ca="1" si="163"/>
        <v>0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IFERROR(__xludf.DUMMYFUNCTION("IMPORTRANGE(""https://docs.google.com/spreadsheets/d/1XWAQStnk-4SwqDmLtmXYiTMKHgktTP8We1SCoS47DrQ/edit?usp=sharing"",""จัดที่ดิน!AM57"")"),0)</f>
        <v>0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IFERROR(__xludf.DUMMYFUNCTION("IMPORTRANGE(""https://docs.google.com/spreadsheets/d/1QqKyyYR6Q21VydFLVH3TRQUabQu_ym0Zz7PgGX0-kHA/edit?usp=sharing"",""แผน!EW57"")"),7)</f>
        <v>7</v>
      </c>
      <c r="J385" s="498">
        <f ca="1">IFERROR(__xludf.DUMMYFUNCTION("IMPORTRANGE(""https://docs.google.com/spreadsheets/d/1XWAQStnk-4SwqDmLtmXYiTMKHgktTP8We1SCoS47DrQ/edit?usp=sharing"",""จัดที่ดิน!AP57"")"),0)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IFERROR(__xludf.DUMMYFUNCTION("IMPORTRANGE(""https://docs.google.com/spreadsheets/d/1MeEWN-I1oV_STSDYn1IFDPWt_1FKiwhDph83XaGc0o0/edit?usp=sharing"",""งบพรบ!FG57"")"),0)</f>
        <v>0</v>
      </c>
      <c r="M394" s="90">
        <f ca="1">IFERROR(__xludf.DUMMYFUNCTION("IMPORTRANGE(""https://docs.google.com/spreadsheets/d/1MeEWN-I1oV_STSDYn1IFDPWt_1FKiwhDph83XaGc0o0/edit?usp=sharing"",""งบพรบ!FL57"")"),0)</f>
        <v>0</v>
      </c>
      <c r="N394" s="90">
        <f ca="1">IFERROR(__xludf.DUMMYFUNCTION("IMPORTRANGE(""https://docs.google.com/spreadsheets/d/1MeEWN-I1oV_STSDYn1IFDPWt_1FKiwhDph83XaGc0o0/edit?usp=sharing"",""งบพรบ!FN57"")"),0)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IFERROR(__xludf.DUMMYFUNCTION("IMPORTRANGE(""https://docs.google.com/spreadsheets/d/1MeEWN-I1oV_STSDYn1IFDPWt_1FKiwhDph83XaGc0o0/edit?usp=sharing"",""งบพรบ!FJ57"")"),0)</f>
        <v>0</v>
      </c>
      <c r="M397" s="90">
        <f ca="1">IFERROR(__xludf.DUMMYFUNCTION("IMPORTRANGE(""https://docs.google.com/spreadsheets/d/1MeEWN-I1oV_STSDYn1IFDPWt_1FKiwhDph83XaGc0o0/edit?usp=sharing"",""งบพรบ!FM57"")"),0)</f>
        <v>0</v>
      </c>
      <c r="N397" s="90">
        <f ca="1">IFERROR(__xludf.DUMMYFUNCTION("IMPORTRANGE(""https://docs.google.com/spreadsheets/d/1MeEWN-I1oV_STSDYn1IFDPWt_1FKiwhDph83XaGc0o0/edit?usp=sharing"",""งบพรบ!FO57"")"),0)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IFERROR(__xludf.DUMMYFUNCTION("IMPORTRANGE(""https://docs.google.com/spreadsheets/d/1MeEWN-I1oV_STSDYn1IFDPWt_1FKiwhDph83XaGc0o0/edit?usp=sharing"",""งบพรบ!FQ57"")"),0)</f>
        <v>0</v>
      </c>
      <c r="M407" s="90">
        <f ca="1">IFERROR(__xludf.DUMMYFUNCTION("IMPORTRANGE(""https://docs.google.com/spreadsheets/d/1MeEWN-I1oV_STSDYn1IFDPWt_1FKiwhDph83XaGc0o0/edit?usp=sharing"",""งบพรบ!FV57"")"),0)</f>
        <v>0</v>
      </c>
      <c r="N407" s="90">
        <f ca="1">IFERROR(__xludf.DUMMYFUNCTION("IMPORTRANGE(""https://docs.google.com/spreadsheets/d/1MeEWN-I1oV_STSDYn1IFDPWt_1FKiwhDph83XaGc0o0/edit?usp=sharing"",""งบพรบ!FX57"")"),0)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IFERROR(__xludf.DUMMYFUNCTION("IMPORTRANGE(""https://docs.google.com/spreadsheets/d/1MeEWN-I1oV_STSDYn1IFDPWt_1FKiwhDph83XaGc0o0/edit?usp=sharing"",""งบพรบ!FT57"")"),0)</f>
        <v>0</v>
      </c>
      <c r="M410" s="90">
        <f ca="1">IFERROR(__xludf.DUMMYFUNCTION("IMPORTRANGE(""https://docs.google.com/spreadsheets/d/1MeEWN-I1oV_STSDYn1IFDPWt_1FKiwhDph83XaGc0o0/edit?usp=sharing"",""งบพรบ!FW57"")"),0)</f>
        <v>0</v>
      </c>
      <c r="N410" s="90">
        <f ca="1">IFERROR(__xludf.DUMMYFUNCTION("IMPORTRANGE(""https://docs.google.com/spreadsheets/d/1MeEWN-I1oV_STSDYn1IFDPWt_1FKiwhDph83XaGc0o0/edit?usp=sharing"",""งบพรบ!FY57"")"),0)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637548</v>
      </c>
      <c r="M414" s="546">
        <f t="shared" si="180"/>
        <v>0</v>
      </c>
      <c r="N414" s="546">
        <f t="shared" si="180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20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78660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78660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78660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IFERROR(__xludf.DUMMYFUNCTION("IMPORTRANGE(""https://docs.google.com/spreadsheets/d/1QqKyyYR6Q21VydFLVH3TRQUabQu_ym0Zz7PgGX0-kHA/edit?usp=sharing"",""แผน!EY57"")"),78660)</f>
        <v>78660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IFERROR(__xludf.DUMMYFUNCTION("IMPORTRANGE(""https://docs.google.com/spreadsheets/d/1QqKyyYR6Q21VydFLVH3TRQUabQu_ym0Zz7PgGX0-kHA/edit?usp=sharing"",""แผน!FB57"")"),0)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20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IFERROR(__xludf.DUMMYFUNCTION("IMPORTRANGE(""https://docs.google.com/spreadsheets/d/1QqKyyYR6Q21VydFLVH3TRQUabQu_ym0Zz7PgGX0-kHA/edit?usp=sharing"",""แผน!FC57"")"),20)</f>
        <v>20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IFERROR(__xludf.DUMMYFUNCTION("IMPORTRANGE(""https://docs.google.com/spreadsheets/d/1QqKyyYR6Q21VydFLVH3TRQUabQu_ym0Zz7PgGX0-kHA/edit?usp=sharing"",""แผน!FD57"")"),0)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IFERROR(__xludf.DUMMYFUNCTION("IMPORTRANGE(""https://docs.google.com/spreadsheets/d/1QqKyyYR6Q21VydFLVH3TRQUabQu_ym0Zz7PgGX0-kHA/edit?usp=sharing"",""แผน!FE57"")"),0)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IFERROR(__xludf.DUMMYFUNCTION("IMPORTRANGE(""https://docs.google.com/spreadsheets/d/1QqKyyYR6Q21VydFLVH3TRQUabQu_ym0Zz7PgGX0-kHA/edit?usp=sharing"",""แผน!FF57"")"),20)</f>
        <v>20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IFERROR(__xludf.DUMMYFUNCTION("IMPORTRANGE(""https://docs.google.com/spreadsheets/d/1QqKyyYR6Q21VydFLVH3TRQUabQu_ym0Zz7PgGX0-kHA/edit?usp=sharing"",""แผน!FG57"")"),1)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IFERROR(__xludf.DUMMYFUNCTION("IMPORTRANGE(""https://docs.google.com/spreadsheets/d/1QqKyyYR6Q21VydFLVH3TRQUabQu_ym0Zz7PgGX0-kHA/edit?usp=sharing"",""แผน!FH57"")"),0)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IFERROR(__xludf.DUMMYFUNCTION("IMPORTRANGE(""https://docs.google.com/spreadsheets/d/1QqKyyYR6Q21VydFLVH3TRQUabQu_ym0Zz7PgGX0-kHA/edit?usp=sharing"",""แผน!FJ57"")"),0)</f>
        <v>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IFERROR(__xludf.DUMMYFUNCTION("IMPORTRANGE(""https://docs.google.com/spreadsheets/d/1QqKyyYR6Q21VydFLVH3TRQUabQu_ym0Zz7PgGX0-kHA/edit?usp=sharing"",""แผน!FM57"")"),0)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IFERROR(__xludf.DUMMYFUNCTION("IMPORTRANGE(""https://docs.google.com/spreadsheets/d/1QqKyyYR6Q21VydFLVH3TRQUabQu_ym0Zz7PgGX0-kHA/edit?usp=sharing"",""แผน!FN57"")"),0)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IFERROR(__xludf.DUMMYFUNCTION("IMPORTRANGE(""https://docs.google.com/spreadsheets/d/1QqKyyYR6Q21VydFLVH3TRQUabQu_ym0Zz7PgGX0-kHA/edit?usp=sharing"",""แผน!FO57"")"),0)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IFERROR(__xludf.DUMMYFUNCTION("IMPORTRANGE(""https://docs.google.com/spreadsheets/d/1QqKyyYR6Q21VydFLVH3TRQUabQu_ym0Zz7PgGX0-kHA/edit?usp=sharing"",""แผน!FO57"")"),0)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IFERROR(__xludf.DUMMYFUNCTION("IMPORTRANGE(""https://docs.google.com/spreadsheets/d/1QqKyyYR6Q21VydFLVH3TRQUabQu_ym0Zz7PgGX0-kHA/edit?usp=sharing"",""แผน!FN57"")"),0)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IFERROR(__xludf.DUMMYFUNCTION("IMPORTRANGE(""https://docs.google.com/spreadsheets/d/1QqKyyYR6Q21VydFLVH3TRQUabQu_ym0Zz7PgGX0-kHA/edit?usp=sharing"",""แผน!FX57"")"),21)</f>
        <v>21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IFERROR(__xludf.DUMMYFUNCTION("IMPORTRANGE(""https://docs.google.com/spreadsheets/d/1QqKyyYR6Q21VydFLVH3TRQUabQu_ym0Zz7PgGX0-kHA/edit?usp=sharing"",""แผน!FW57"")"),200)</f>
        <v>200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174403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174403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174403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IFERROR(__xludf.DUMMYFUNCTION("IMPORTRANGE(""https://docs.google.com/spreadsheets/d/1QqKyyYR6Q21VydFLVH3TRQUabQu_ym0Zz7PgGX0-kHA/edit?usp=sharing"",""แผน!FS57"")"),174403)</f>
        <v>174403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IFERROR(__xludf.DUMMYFUNCTION("IMPORTRANGE(""https://docs.google.com/spreadsheets/d/1QqKyyYR6Q21VydFLVH3TRQUabQu_ym0Zz7PgGX0-kHA/edit?usp=sharing"",""แผน!FV57"")"),0)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IFERROR(__xludf.DUMMYFUNCTION("IMPORTRANGE(""https://docs.google.com/spreadsheets/d/1QqKyyYR6Q21VydFLVH3TRQUabQu_ym0Zz7PgGX0-kHA/edit?usp=sharing"",""แผน!FY57"")"),180)</f>
        <v>180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IFERROR(__xludf.DUMMYFUNCTION("IMPORTRANGE(""https://docs.google.com/spreadsheets/d/1QqKyyYR6Q21VydFLVH3TRQUabQu_ym0Zz7PgGX0-kHA/edit?usp=sharing"",""แผน!FZ57"")"),18)</f>
        <v>18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IFERROR(__xludf.DUMMYFUNCTION("IMPORTRANGE(""https://docs.google.com/spreadsheets/d/1QqKyyYR6Q21VydFLVH3TRQUabQu_ym0Zz7PgGX0-kHA/edit?usp=sharing"",""แผน!GA57"")"),20)</f>
        <v>20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IFERROR(__xludf.DUMMYFUNCTION("IMPORTRANGE(""https://docs.google.com/spreadsheets/d/1QqKyyYR6Q21VydFLVH3TRQUabQu_ym0Zz7PgGX0-kHA/edit?usp=sharing"",""แผน!GB57"")"),2)</f>
        <v>2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IFERROR(__xludf.DUMMYFUNCTION("IMPORTRANGE(""https://docs.google.com/spreadsheets/d/1QqKyyYR6Q21VydFLVH3TRQUabQu_ym0Zz7PgGX0-kHA/edit?usp=sharing"",""แผน!GC57"")"),1)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IFERROR(__xludf.DUMMYFUNCTION("IMPORTRANGE(""https://docs.google.com/spreadsheets/d/1QqKyyYR6Q21VydFLVH3TRQUabQu_ym0Zz7PgGX0-kHA/edit?usp=sharing"",""แผน!FY57"")"),180)</f>
        <v>180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IFERROR(__xludf.DUMMYFUNCTION("IMPORTRANGE(""https://docs.google.com/spreadsheets/d/1QqKyyYR6Q21VydFLVH3TRQUabQu_ym0Zz7PgGX0-kHA/edit?usp=sharing"",""แผน!GA57"")"),20)</f>
        <v>20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IFERROR(__xludf.DUMMYFUNCTION("IMPORTRANGE(""https://docs.google.com/spreadsheets/d/1QqKyyYR6Q21VydFLVH3TRQUabQu_ym0Zz7PgGX0-kHA/edit?usp=sharing"",""แผน!GQ57"")"),0)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IFERROR(__xludf.DUMMYFUNCTION("IMPORTRANGE(""https://docs.google.com/spreadsheets/d/1QqKyyYR6Q21VydFLVH3TRQUabQu_ym0Zz7PgGX0-kHA/edit?usp=sharing"",""แผน!GT57"")"),0)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IFERROR(__xludf.DUMMYFUNCTION("IMPORTRANGE(""https://docs.google.com/spreadsheets/d/1QqKyyYR6Q21VydFLVH3TRQUabQu_ym0Zz7PgGX0-kHA/edit?usp=sharing"",""แผน!GU57"")"),0)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IFERROR(__xludf.DUMMYFUNCTION("IMPORTRANGE(""https://docs.google.com/spreadsheets/d/1QqKyyYR6Q21VydFLVH3TRQUabQu_ym0Zz7PgGX0-kHA/edit?usp=sharing"",""แผน!GV57"")"),0)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IFERROR(__xludf.DUMMYFUNCTION("IMPORTRANGE(""https://docs.google.com/spreadsheets/d/1QqKyyYR6Q21VydFLVH3TRQUabQu_ym0Zz7PgGX0-kHA/edit?usp=sharing"",""แผน!GW57"")"),0)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IFERROR(__xludf.DUMMYFUNCTION("IMPORTRANGE(""https://docs.google.com/spreadsheets/d/1QqKyyYR6Q21VydFLVH3TRQUabQu_ym0Zz7PgGX0-kHA/edit?usp=sharing"",""แผน!GX57"")"),0)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IFERROR(__xludf.DUMMYFUNCTION("IMPORTRANGE(""https://docs.google.com/spreadsheets/d/1QqKyyYR6Q21VydFLVH3TRQUabQu_ym0Zz7PgGX0-kHA/edit?usp=sharing"",""แผน!GY57"")"),0)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IFERROR(__xludf.DUMMYFUNCTION("IMPORTRANGE(""https://docs.google.com/spreadsheets/d/1QqKyyYR6Q21VydFLVH3TRQUabQu_ym0Zz7PgGX0-kHA/edit?usp=sharing"",""แผน!GZ57"")"),0)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217100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217100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217100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IFERROR(__xludf.DUMMYFUNCTION("IMPORTRANGE(""https://docs.google.com/spreadsheets/d/1QqKyyYR6Q21VydFLVH3TRQUabQu_ym0Zz7PgGX0-kHA/edit?usp=sharing"",""แผน!HB57"")"),217100)</f>
        <v>217100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IFERROR(__xludf.DUMMYFUNCTION("IMPORTRANGE(""https://docs.google.com/spreadsheets/d/1QqKyyYR6Q21VydFLVH3TRQUabQu_ym0Zz7PgGX0-kHA/edit?usp=sharing"",""แผน!HF57"")"),0)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IFERROR(__xludf.DUMMYFUNCTION("IMPORTRANGE(""https://docs.google.com/spreadsheets/d/1QqKyyYR6Q21VydFLVH3TRQUabQu_ym0Zz7PgGX0-kHA/edit?usp=sharing"",""แผน!HH57"")"),0)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IFERROR(__xludf.DUMMYFUNCTION("IMPORTRANGE(""https://docs.google.com/spreadsheets/d/1QqKyyYR6Q21VydFLVH3TRQUabQu_ym0Zz7PgGX0-kHA/edit?usp=sharing"",""แผน!HG57"")"),0)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IFERROR(__xludf.DUMMYFUNCTION("IMPORTRANGE(""https://docs.google.com/spreadsheets/d/1QqKyyYR6Q21VydFLVH3TRQUabQu_ym0Zz7PgGX0-kHA/edit?usp=sharing"",""แผน!HH57"")"),0)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IFERROR(__xludf.DUMMYFUNCTION("IMPORTRANGE(""https://docs.google.com/spreadsheets/d/1QqKyyYR6Q21VydFLVH3TRQUabQu_ym0Zz7PgGX0-kHA/edit?usp=sharing"",""แผน!HG57"")"),0)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IFERROR(__xludf.DUMMYFUNCTION("IMPORTRANGE(""https://docs.google.com/spreadsheets/d/1QqKyyYR6Q21VydFLVH3TRQUabQu_ym0Zz7PgGX0-kHA/edit?usp=sharing"",""แผน!HH57"")"),0)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IFERROR(__xludf.DUMMYFUNCTION("IMPORTRANGE(""https://docs.google.com/spreadsheets/d/1QqKyyYR6Q21VydFLVH3TRQUabQu_ym0Zz7PgGX0-kHA/edit?usp=sharing"",""แผน!HG57"")"),0)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180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IFERROR(__xludf.DUMMYFUNCTION("IMPORTRANGE(""https://docs.google.com/spreadsheets/d/1QqKyyYR6Q21VydFLVH3TRQUabQu_ym0Zz7PgGX0-kHA/edit?usp=sharing"",""แผน!HJ57"")"),180)</f>
        <v>180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IFERROR(__xludf.DUMMYFUNCTION("IMPORTRANGE(""https://docs.google.com/spreadsheets/d/1QqKyyYR6Q21VydFLVH3TRQUabQu_ym0Zz7PgGX0-kHA/edit?usp=sharing"",""แผน!HI57"")"),17)</f>
        <v>17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IFERROR(__xludf.DUMMYFUNCTION("IMPORTRANGE(""https://docs.google.com/spreadsheets/d/1QqKyyYR6Q21VydFLVH3TRQUabQu_ym0Zz7PgGX0-kHA/edit?usp=sharing"",""แผน!HL57"")"),0)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IFERROR(__xludf.DUMMYFUNCTION("IMPORTRANGE(""https://docs.google.com/spreadsheets/d/1QqKyyYR6Q21VydFLVH3TRQUabQu_ym0Zz7PgGX0-kHA/edit?usp=sharing"",""แผน!HK57"")"),0)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6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146945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146945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146945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IFERROR(__xludf.DUMMYFUNCTION("IMPORTRANGE(""https://docs.google.com/spreadsheets/d/1QqKyyYR6Q21VydFLVH3TRQUabQu_ym0Zz7PgGX0-kHA/edit?usp=sharing"",""แผน!HN57"")"),146945)</f>
        <v>146945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IFERROR(__xludf.DUMMYFUNCTION("IMPORTRANGE(""https://docs.google.com/spreadsheets/d/1QqKyyYR6Q21VydFLVH3TRQUabQu_ym0Zz7PgGX0-kHA/edit?usp=sharing"",""แผน!HQ57"")"),0)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IFERROR(__xludf.DUMMYFUNCTION("IMPORTRANGE(""https://docs.google.com/spreadsheets/d/1QqKyyYR6Q21VydFLVH3TRQUabQu_ym0Zz7PgGX0-kHA/edit?usp=sharing"",""แผน!HR57"")"),0)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IFERROR(__xludf.DUMMYFUNCTION("IMPORTRANGE(""https://docs.google.com/spreadsheets/d/1QqKyyYR6Q21VydFLVH3TRQUabQu_ym0Zz7PgGX0-kHA/edit?usp=sharing"",""แผน!HR57"")"),0)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IFERROR(__xludf.DUMMYFUNCTION("IMPORTRANGE(""https://docs.google.com/spreadsheets/d/1XWAQStnk-4SwqDmLtmXYiTMKHgktTP8We1SCoS47DrQ/edit?usp=sharing"",""จัดที่ดิน!AS57"")"),0)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IFERROR(__xludf.DUMMYFUNCTION("IMPORTRANGE(""https://docs.google.com/spreadsheets/d/1XWAQStnk-4SwqDmLtmXYiTMKHgktTP8We1SCoS47DrQ/edit?usp=sharing"",""จัดที่ดิน!AT57"")"),0)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IFERROR(__xludf.DUMMYFUNCTION("IMPORTRANGE(""https://docs.google.com/spreadsheets/d/1QqKyyYR6Q21VydFLVH3TRQUabQu_ym0Zz7PgGX0-kHA/edit?usp=sharing"",""แผน!HS57"")"),6)</f>
        <v>6</v>
      </c>
      <c r="J647" s="264">
        <f ca="1">IFERROR(__xludf.DUMMYFUNCTION("IMPORTRANGE(""https://docs.google.com/spreadsheets/d/1XWAQStnk-4SwqDmLtmXYiTMKHgktTP8We1SCoS47DrQ/edit?usp=sharing"",""จัดที่ดิน!AU57"")"),0)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IFERROR(__xludf.DUMMYFUNCTION("IMPORTRANGE(""https://docs.google.com/spreadsheets/d/1XWAQStnk-4SwqDmLtmXYiTMKHgktTP8We1SCoS47DrQ/edit?usp=sharing"",""จัดที่ดิน!AV57"")"),0)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IFERROR(__xludf.DUMMYFUNCTION("IMPORTRANGE(""https://docs.google.com/spreadsheets/d/1QqKyyYR6Q21VydFLVH3TRQUabQu_ym0Zz7PgGX0-kHA/edit?usp=sharing"",""แผน!HS57"")"),6)</f>
        <v>6</v>
      </c>
      <c r="J649" s="264">
        <f ca="1">IFERROR(__xludf.DUMMYFUNCTION("IMPORTRANGE(""https://docs.google.com/spreadsheets/d/1XWAQStnk-4SwqDmLtmXYiTMKHgktTP8We1SCoS47DrQ/edit?usp=sharing"",""จัดที่ดิน!AW57"")"),0)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IFERROR(__xludf.DUMMYFUNCTION("IMPORTRANGE(""https://docs.google.com/spreadsheets/d/1XWAQStnk-4SwqDmLtmXYiTMKHgktTP8We1SCoS47DrQ/edit?usp=sharing"",""จัดที่ดิน!AX57"")"),0)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IFERROR(__xludf.DUMMYFUNCTION("IMPORTRANGE(""https://docs.google.com/spreadsheets/d/1QqKyyYR6Q21VydFLVH3TRQUabQu_ym0Zz7PgGX0-kHA/edit?usp=sharing"",""แผน!HS57"")"),6)</f>
        <v>6</v>
      </c>
      <c r="J651" s="264">
        <f ca="1">IFERROR(__xludf.DUMMYFUNCTION("IMPORTRANGE(""https://docs.google.com/spreadsheets/d/1XWAQStnk-4SwqDmLtmXYiTMKHgktTP8We1SCoS47DrQ/edit?usp=sharing"",""จัดที่ดิน!AY57"")"),0)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IFERROR(__xludf.DUMMYFUNCTION("IMPORTRANGE(""https://docs.google.com/spreadsheets/d/1XWAQStnk-4SwqDmLtmXYiTMKHgktTP8We1SCoS47DrQ/edit?usp=sharing"",""จัดที่ดิน!AZ57"")"),0)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50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9400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9400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9400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IFERROR(__xludf.DUMMYFUNCTION("IMPORTRANGE(""https://docs.google.com/spreadsheets/d/1QqKyyYR6Q21VydFLVH3TRQUabQu_ym0Zz7PgGX0-kHA/edit?usp=sharing"",""แผน!HV57"")"),9400)</f>
        <v>9400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IFERROR(__xludf.DUMMYFUNCTION("IMPORTRANGE(""https://docs.google.com/spreadsheets/d/1QqKyyYR6Q21VydFLVH3TRQUabQu_ym0Zz7PgGX0-kHA/edit?usp=sharing"",""แผน!IA57"")"),50)</f>
        <v>50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IFERROR(__xludf.DUMMYFUNCTION("IMPORTRANGE(""https://docs.google.com/spreadsheets/d/1QqKyyYR6Q21VydFLVH3TRQUabQu_ym0Zz7PgGX0-kHA/edit?usp=sharing"",""แผน!HZ57"")"),4)</f>
        <v>4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IFERROR(__xludf.DUMMYFUNCTION("IMPORTRANGE(""https://docs.google.com/spreadsheets/d/1QqKyyYR6Q21VydFLVH3TRQUabQu_ym0Zz7PgGX0-kHA/edit?usp=sharing"",""แผน!HZ57"")"),4)</f>
        <v>4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IFERROR(__xludf.DUMMYFUNCTION("IMPORTRANGE(""https://docs.google.com/spreadsheets/d/1QqKyyYR6Q21VydFLVH3TRQUabQu_ym0Zz7PgGX0-kHA/edit?usp=sharing"",""แผน!IB57"")"),0)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11040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11040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11040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IFERROR(__xludf.DUMMYFUNCTION("IMPORTRANGE(""https://docs.google.com/spreadsheets/d/1QqKyyYR6Q21VydFLVH3TRQUabQu_ym0Zz7PgGX0-kHA/edit?usp=sharing"",""แผน!HW57"")"),11040)</f>
        <v>11040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IFERROR(__xludf.DUMMYFUNCTION("IMPORTRANGE(""https://docs.google.com/spreadsheets/d/1QqKyyYR6Q21VydFLVH3TRQUabQu_ym0Zz7PgGX0-kHA/edit?usp=sharing"",""แผน!IC57"")"),25)</f>
        <v>25</v>
      </c>
      <c r="J699" s="264">
        <f ca="1">IFERROR(__xludf.DUMMYFUNCTION("IMPORTRANGE(""https://docs.google.com/spreadsheets/d/1XWAQStnk-4SwqDmLtmXYiTMKHgktTP8We1SCoS47DrQ/edit?usp=sharing"",""จัดที่ดิน!BB57"")"),0)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IFERROR(__xludf.DUMMYFUNCTION("IMPORTRANGE(""https://docs.google.com/spreadsheets/d/1QqKyyYR6Q21VydFLVH3TRQUabQu_ym0Zz7PgGX0-kHA/edit?usp=sharing"",""แผน!ID57"")"),5)</f>
        <v>5</v>
      </c>
      <c r="J700" s="264">
        <f ca="1">IFERROR(__xludf.DUMMYFUNCTION("IMPORTRANGE(""https://docs.google.com/spreadsheets/d/1XWAQStnk-4SwqDmLtmXYiTMKHgktTP8We1SCoS47DrQ/edit?usp=sharing"",""จัดที่ดิน!BD57"")"),0)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IFERROR(__xludf.DUMMYFUNCTION("IMPORTRANGE(""https://docs.google.com/spreadsheets/d/1QqKyyYR6Q21VydFLVH3TRQUabQu_ym0Zz7PgGX0-kHA/edit?usp=sharing"",""แผน!IE57"")"),70)</f>
        <v>70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IFERROR(__xludf.DUMMYFUNCTION("IMPORTRANGE(""https://docs.google.com/spreadsheets/d/1QqKyyYR6Q21VydFLVH3TRQUabQu_ym0Zz7PgGX0-kHA/edit?usp=sharing"",""แผน!IF57"")"),40)</f>
        <v>40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IFERROR(__xludf.DUMMYFUNCTION("IMPORTRANGE(""https://docs.google.com/spreadsheets/d/1QqKyyYR6Q21VydFLVH3TRQUabQu_ym0Zz7PgGX0-kHA/edit?usp=sharing"",""แผน!IG57"")"),30)</f>
        <v>30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IFERROR(__xludf.DUMMYFUNCTION("IMPORTRANGE(""https://docs.google.com/spreadsheets/d/1QqKyyYR6Q21VydFLVH3TRQUabQu_ym0Zz7PgGX0-kHA/edit?usp=sharing"",""แผน!IH57"")"),0)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IFERROR(__xludf.DUMMYFUNCTION("IMPORTRANGE(""https://docs.google.com/spreadsheets/d/1XWAQStnk-4SwqDmLtmXYiTMKHgktTP8We1SCoS47DrQ/edit?usp=sharing"",""จัดที่ดิน!BF57"")"),0)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IFERROR(__xludf.DUMMYFUNCTION("IMPORTRANGE(""https://docs.google.com/spreadsheets/d/1XWAQStnk-4SwqDmLtmXYiTMKHgktTP8We1SCoS47DrQ/edit?usp=sharing"",""จัดที่ดิน!BG57"")"),0)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IFERROR(__xludf.DUMMYFUNCTION("IMPORTRANGE(""https://docs.google.com/spreadsheets/d/1QqKyyYR6Q21VydFLVH3TRQUabQu_ym0Zz7PgGX0-kHA/edit?usp=sharing"",""แผน!II57"")"),50)</f>
        <v>50</v>
      </c>
      <c r="J720" s="264">
        <f ca="1">IFERROR(__xludf.DUMMYFUNCTION("IMPORTRANGE(""https://docs.google.com/spreadsheets/d/1XWAQStnk-4SwqDmLtmXYiTMKHgktTP8We1SCoS47DrQ/edit?usp=sharing"",""จัดที่ดิน!BH57"")"),0)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IFERROR(__xludf.DUMMYFUNCTION("IMPORTRANGE(""https://docs.google.com/spreadsheets/d/1QqKyyYR6Q21VydFLVH3TRQUabQu_ym0Zz7PgGX0-kHA/edit?usp=sharing"",""แผน!IJ57"")"),17)</f>
        <v>17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IFERROR(__xludf.DUMMYFUNCTION("IMPORTRANGE(""https://docs.google.com/spreadsheets/d/1QqKyyYR6Q21VydFLVH3TRQUabQu_ym0Zz7PgGX0-kHA/edit?usp=sharing"",""แผน!IK57"")"),180)</f>
        <v>180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IFERROR(__xludf.DUMMYFUNCTION("IMPORTRANGE(""https://docs.google.com/spreadsheets/d/1QqKyyYR6Q21VydFLVH3TRQUabQu_ym0Zz7PgGX0-kHA/edit?usp=sharing"",""แผน!IL57"")"),16)</f>
        <v>16</v>
      </c>
      <c r="J723" s="264">
        <f ca="1">IFERROR(__xludf.DUMMYFUNCTION("IMPORTRANGE(""https://docs.google.com/spreadsheets/d/1XWAQStnk-4SwqDmLtmXYiTMKHgktTP8We1SCoS47DrQ/edit?usp=sharing"",""จัดที่ดิน!BM57"")"),0)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IFERROR(__xludf.DUMMYFUNCTION("IMPORTRANGE(""https://docs.google.com/spreadsheets/d/1XWAQStnk-4SwqDmLtmXYiTMKHgktTP8We1SCoS47DrQ/edit?usp=sharing"",""จัดที่ดิน!BN57"")"),0)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IFERROR(__xludf.DUMMYFUNCTION("IMPORTRANGE(""https://docs.google.com/spreadsheets/d/1QqKyyYR6Q21VydFLVH3TRQUabQu_ym0Zz7PgGX0-kHA/edit?usp=sharing"",""แผน!IM57"")"),160)</f>
        <v>160</v>
      </c>
      <c r="J725" s="264">
        <f ca="1">IFERROR(__xludf.DUMMYFUNCTION("IMPORTRANGE(""https://docs.google.com/spreadsheets/d/1XWAQStnk-4SwqDmLtmXYiTMKHgktTP8We1SCoS47DrQ/edit?usp=sharing"",""จัดที่ดิน!BO57"")"),0)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IFERROR(__xludf.DUMMYFUNCTION("IMPORTRANGE(""https://docs.google.com/spreadsheets/d/1QqKyyYR6Q21VydFLVH3TRQUabQu_ym0Zz7PgGX0-kHA/edit?usp=sharing"",""แผน!IN57"")"),1)</f>
        <v>1</v>
      </c>
      <c r="J726" s="264">
        <f ca="1">IFERROR(__xludf.DUMMYFUNCTION("IMPORTRANGE(""https://docs.google.com/spreadsheets/d/1XWAQStnk-4SwqDmLtmXYiTMKHgktTP8We1SCoS47DrQ/edit?usp=sharing"",""จัดที่ดิน!BR57"")"),0)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IFERROR(__xludf.DUMMYFUNCTION("IMPORTRANGE(""https://docs.google.com/spreadsheets/d/1XWAQStnk-4SwqDmLtmXYiTMKHgktTP8We1SCoS47DrQ/edit?usp=sharing"",""จัดที่ดิน!BS57"")"),0)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IFERROR(__xludf.DUMMYFUNCTION("IMPORTRANGE(""https://docs.google.com/spreadsheets/d/1QqKyyYR6Q21VydFLVH3TRQUabQu_ym0Zz7PgGX0-kHA/edit?usp=sharing"",""แผน!IO57"")"),20)</f>
        <v>20</v>
      </c>
      <c r="J728" s="264">
        <f ca="1">IFERROR(__xludf.DUMMYFUNCTION("IMPORTRANGE(""https://docs.google.com/spreadsheets/d/1XWAQStnk-4SwqDmLtmXYiTMKHgktTP8We1SCoS47DrQ/edit?usp=sharing"",""จัดที่ดิน!BT57"")"),0)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IFERROR(__xludf.DUMMYFUNCTION("IMPORTRANGE(""https://docs.google.com/spreadsheets/d/1QqKyyYR6Q21VydFLVH3TRQUabQu_ym0Zz7PgGX0-kHA/edit?usp=sharing"",""แผน!IP57"")"),0)</f>
        <v>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IFERROR(__xludf.DUMMYFUNCTION("IMPORTRANGE(""https://docs.google.com/spreadsheets/d/1QqKyyYR6Q21VydFLVH3TRQUabQu_ym0Zz7PgGX0-kHA/edit?usp=sharing"",""แผน!JJ57"")"),0)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IFERROR(__xludf.DUMMYFUNCTION("IMPORTRANGE(""https://docs.google.com/spreadsheets/d/1QqKyyYR6Q21VydFLVH3TRQUabQu_ym0Zz7PgGX0-kHA/edit?usp=sharing"",""แผน!JN57"")"),0)</f>
        <v>0</v>
      </c>
      <c r="J800" s="180">
        <f ca="1">IFERROR(__xludf.DUMMYFUNCTION("IMPORTRANGE(""https://docs.google.com/spreadsheets/d/1MaWodYyGHDf7siQLGxnXhG4mBNTNIuy296niS2xXulU/edit?usp=sharing"",""RTK!H57"")"),0)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IFERROR(__xludf.DUMMYFUNCTION("IMPORTRANGE(""https://docs.google.com/spreadsheets/d/1MaWodYyGHDf7siQLGxnXhG4mBNTNIuy296niS2xXulU/edit?usp=sharing"",""RTK!I57"")"),0)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264">
        <f ca="1">IFERROR(__xludf.DUMMYFUNCTION("IMPORTRANGE(""https://docs.google.com/spreadsheets/d/19vJNZY_5yjcGF2XGBMNZRCAIB0Kwfpjp8YEOfu-bneM/edit?usp=sharing"",""งานกองทุน!F57"")"),39854.8)</f>
        <v>39854.800000000003</v>
      </c>
      <c r="K821" s="495">
        <f t="shared" ref="K821:K828" ca="1" si="334">IF(I821&gt;0,J821*100/I821,0)</f>
        <v>0.93804213217314636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IFERROR(__xludf.DUMMYFUNCTION("IMPORTRANGE(""https://docs.google.com/spreadsheets/d/19vJNZY_5yjcGF2XGBMNZRCAIB0Kwfpjp8YEOfu-bneM/edit?usp=sharing"",""งานกองทุน!C57"")"),246)</f>
        <v>246</v>
      </c>
      <c r="J822" s="264">
        <f ca="1">IFERROR(__xludf.DUMMYFUNCTION("IMPORTRANGE(""https://docs.google.com/spreadsheets/d/19vJNZY_5yjcGF2XGBMNZRCAIB0Kwfpjp8YEOfu-bneM/edit?usp=sharing"",""งานกองทุน!E57"")"),2)</f>
        <v>2</v>
      </c>
      <c r="K822" s="495">
        <f t="shared" ca="1" si="334"/>
        <v>0.81300813008130079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264">
        <f ca="1">IFERROR(__xludf.DUMMYFUNCTION("IMPORTRANGE(""https://docs.google.com/spreadsheets/d/19vJNZY_5yjcGF2XGBMNZRCAIB0Kwfpjp8YEOfu-bneM/edit?usp=sharing"",""งานกองทุน!K57"")"),8419.14)</f>
        <v>8419.14</v>
      </c>
      <c r="K823" s="495">
        <f t="shared" ca="1" si="334"/>
        <v>0.16717940519323235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IFERROR(__xludf.DUMMYFUNCTION("IMPORTRANGE(""https://docs.google.com/spreadsheets/d/19vJNZY_5yjcGF2XGBMNZRCAIB0Kwfpjp8YEOfu-bneM/edit?usp=sharing"",""งานกองทุน!H57"")"),234)</f>
        <v>234</v>
      </c>
      <c r="J824" s="264">
        <f ca="1">IFERROR(__xludf.DUMMYFUNCTION("IMPORTRANGE(""https://docs.google.com/spreadsheets/d/19vJNZY_5yjcGF2XGBMNZRCAIB0Kwfpjp8YEOfu-bneM/edit?usp=sharing"",""งานกองทุน!J57"")"),4)</f>
        <v>4</v>
      </c>
      <c r="K824" s="495">
        <f t="shared" ca="1" si="334"/>
        <v>1.7094017094017093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IFERROR(__xludf.DUMMYFUNCTION("IMPORTRANGE(""https://docs.google.com/spreadsheets/d/19vJNZY_5yjcGF2XGBMNZRCAIB0Kwfpjp8YEOfu-bneM/edit?usp=sharing"",""งานกองทุน!N57"")"),9471531.32)</f>
        <v>9471531.3200000003</v>
      </c>
      <c r="J825" s="264">
        <f ca="1">IFERROR(__xludf.DUMMYFUNCTION("IMPORTRANGE(""https://docs.google.com/spreadsheets/d/19vJNZY_5yjcGF2XGBMNZRCAIB0Kwfpjp8YEOfu-bneM/edit?usp=sharing"",""งานกองทุน!P57"")"),231722.58)</f>
        <v>231722.58</v>
      </c>
      <c r="K825" s="495">
        <f t="shared" ca="1" si="334"/>
        <v>2.4465165364622368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IFERROR(__xludf.DUMMYFUNCTION("IMPORTRANGE(""https://docs.google.com/spreadsheets/d/19vJNZY_5yjcGF2XGBMNZRCAIB0Kwfpjp8YEOfu-bneM/edit?usp=sharing"",""งานกองทุน!M57"")"),205)</f>
        <v>205</v>
      </c>
      <c r="J826" s="264">
        <f ca="1">IFERROR(__xludf.DUMMYFUNCTION("IMPORTRANGE(""https://docs.google.com/spreadsheets/d/19vJNZY_5yjcGF2XGBMNZRCAIB0Kwfpjp8YEOfu-bneM/edit?usp=sharing"",""งานกองทุน!O57"")"),7)</f>
        <v>7</v>
      </c>
      <c r="K826" s="495">
        <f t="shared" ca="1" si="334"/>
        <v>3.4146341463414633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IFERROR(__xludf.DUMMYFUNCTION("IMPORTRANGE(""https://docs.google.com/spreadsheets/d/19vJNZY_5yjcGF2XGBMNZRCAIB0Kwfpjp8YEOfu-bneM/edit?usp=sharing"",""งานกองทุน!S57"")"),3350000)</f>
        <v>3350000</v>
      </c>
      <c r="J827" s="264">
        <f ca="1">IFERROR(__xludf.DUMMYFUNCTION("IMPORTRANGE(""https://docs.google.com/spreadsheets/d/19vJNZY_5yjcGF2XGBMNZRCAIB0Kwfpjp8YEOfu-bneM/edit?usp=sharing"",""งานกองทุน!U57"")"),0)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IFERROR(__xludf.DUMMYFUNCTION("IMPORTRANGE(""https://docs.google.com/spreadsheets/d/19vJNZY_5yjcGF2XGBMNZRCAIB0Kwfpjp8YEOfu-bneM/edit?usp=sharing"",""งานกองทุน!R57"")"),134)</f>
        <v>134</v>
      </c>
      <c r="J828" s="498">
        <f ca="1">IFERROR(__xludf.DUMMYFUNCTION("IMPORTRANGE(""https://docs.google.com/spreadsheets/d/19vJNZY_5yjcGF2XGBMNZRCAIB0Kwfpjp8YEOfu-bneM/edit?usp=sharing"",""งานกองทุน!T57"")"),42)</f>
        <v>42</v>
      </c>
      <c r="K828" s="499">
        <f t="shared" ca="1" si="334"/>
        <v>31.343283582089551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31E2-A72B-47BA-A92F-1D4D5AB1C524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339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3729693</v>
      </c>
      <c r="M8" s="21">
        <f t="shared" ca="1" si="0"/>
        <v>1925630</v>
      </c>
      <c r="N8" s="21">
        <f t="shared" ca="1" si="0"/>
        <v>401156.29</v>
      </c>
      <c r="O8" s="21">
        <f t="shared" ref="O8:O16" ca="1" si="1">IF(L8&gt;0,N8*100/L8,0)</f>
        <v>10.755745580132199</v>
      </c>
      <c r="P8" s="21">
        <f t="shared" ref="P8:P16" ca="1" si="2">IF(M8&gt;0,N8*100/M8,0)</f>
        <v>20.832469892970092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3729693</v>
      </c>
      <c r="M10" s="29">
        <f t="shared" ca="1" si="3"/>
        <v>1925630</v>
      </c>
      <c r="N10" s="29">
        <f t="shared" ca="1" si="3"/>
        <v>401156.29</v>
      </c>
      <c r="O10" s="29">
        <f t="shared" ca="1" si="1"/>
        <v>10.755745580132199</v>
      </c>
      <c r="P10" s="29">
        <f t="shared" ca="1" si="2"/>
        <v>20.832469892970092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2928693</v>
      </c>
      <c r="M11" s="495">
        <f t="shared" ca="1" si="4"/>
        <v>1124630</v>
      </c>
      <c r="N11" s="495">
        <f t="shared" ca="1" si="4"/>
        <v>386656.29</v>
      </c>
      <c r="O11" s="495">
        <f t="shared" ca="1" si="1"/>
        <v>13.202349648802384</v>
      </c>
      <c r="P11" s="495">
        <f t="shared" ca="1" si="2"/>
        <v>34.380755448458601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2928693</v>
      </c>
      <c r="M13" s="90">
        <f t="shared" ca="1" si="5"/>
        <v>1124630</v>
      </c>
      <c r="N13" s="90">
        <f t="shared" ca="1" si="5"/>
        <v>386656.29</v>
      </c>
      <c r="O13" s="90">
        <f t="shared" ca="1" si="1"/>
        <v>13.202349648802384</v>
      </c>
      <c r="P13" s="90">
        <f t="shared" ca="1" si="2"/>
        <v>34.380755448458601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801000</v>
      </c>
      <c r="M14" s="495">
        <f t="shared" ca="1" si="6"/>
        <v>801000</v>
      </c>
      <c r="N14" s="495">
        <f t="shared" ca="1" si="6"/>
        <v>14500</v>
      </c>
      <c r="O14" s="495">
        <f t="shared" ca="1" si="1"/>
        <v>1.8102372034956304</v>
      </c>
      <c r="P14" s="495">
        <f t="shared" ca="1" si="2"/>
        <v>1.8102372034956304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801000</v>
      </c>
      <c r="M16" s="51">
        <f t="shared" ca="1" si="7"/>
        <v>801000</v>
      </c>
      <c r="N16" s="51">
        <f t="shared" ca="1" si="7"/>
        <v>14500</v>
      </c>
      <c r="O16" s="51">
        <f t="shared" ca="1" si="1"/>
        <v>1.8102372034956304</v>
      </c>
      <c r="P16" s="51">
        <f t="shared" ca="1" si="2"/>
        <v>1.8102372034956304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2890420</v>
      </c>
      <c r="M18" s="21">
        <f t="shared" ca="1" si="8"/>
        <v>1925630</v>
      </c>
      <c r="N18" s="21">
        <f t="shared" ca="1" si="8"/>
        <v>401156.29</v>
      </c>
      <c r="O18" s="21">
        <f t="shared" ref="O18:O26" ca="1" si="9">IF(L18&gt;0,N18*100/L18,0)</f>
        <v>13.878823492779595</v>
      </c>
      <c r="P18" s="21">
        <f t="shared" ref="P18:P26" ca="1" si="10">IF(M18&gt;0,N18*100/M18,0)</f>
        <v>20.832469892970092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2890420</v>
      </c>
      <c r="M20" s="29">
        <f t="shared" ca="1" si="11"/>
        <v>1925630</v>
      </c>
      <c r="N20" s="29">
        <f t="shared" ca="1" si="11"/>
        <v>401156.29</v>
      </c>
      <c r="O20" s="29">
        <f t="shared" ca="1" si="9"/>
        <v>13.878823492779595</v>
      </c>
      <c r="P20" s="29">
        <f t="shared" ca="1" si="10"/>
        <v>20.832469892970092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2089420</v>
      </c>
      <c r="M21" s="495">
        <f t="shared" ca="1" si="12"/>
        <v>1124630</v>
      </c>
      <c r="N21" s="495">
        <f t="shared" ca="1" si="12"/>
        <v>386656.29</v>
      </c>
      <c r="O21" s="495">
        <f t="shared" ca="1" si="9"/>
        <v>18.505436436905935</v>
      </c>
      <c r="P21" s="495">
        <f t="shared" ca="1" si="10"/>
        <v>34.380755448458601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2089420</v>
      </c>
      <c r="M23" s="90">
        <f t="shared" ca="1" si="13"/>
        <v>1124630</v>
      </c>
      <c r="N23" s="90">
        <f t="shared" ca="1" si="13"/>
        <v>386656.29</v>
      </c>
      <c r="O23" s="90">
        <f t="shared" ca="1" si="9"/>
        <v>18.505436436905935</v>
      </c>
      <c r="P23" s="90">
        <f t="shared" ca="1" si="10"/>
        <v>34.380755448458601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801000</v>
      </c>
      <c r="M24" s="495">
        <f t="shared" ca="1" si="14"/>
        <v>801000</v>
      </c>
      <c r="N24" s="495">
        <f t="shared" ca="1" si="14"/>
        <v>14500</v>
      </c>
      <c r="O24" s="495">
        <f t="shared" ca="1" si="9"/>
        <v>1.8102372034956304</v>
      </c>
      <c r="P24" s="495">
        <f t="shared" ca="1" si="10"/>
        <v>1.8102372034956304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801000</v>
      </c>
      <c r="M26" s="51">
        <f t="shared" ca="1" si="15"/>
        <v>801000</v>
      </c>
      <c r="N26" s="51">
        <f t="shared" ca="1" si="15"/>
        <v>14500</v>
      </c>
      <c r="O26" s="51">
        <f t="shared" ca="1" si="9"/>
        <v>1.8102372034956304</v>
      </c>
      <c r="P26" s="51">
        <f t="shared" ca="1" si="10"/>
        <v>1.8102372034956304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839273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839273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839273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839273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2890420</v>
      </c>
      <c r="M37" s="57">
        <f t="shared" ca="1" si="24"/>
        <v>1925630</v>
      </c>
      <c r="N37" s="57">
        <f t="shared" ca="1" si="24"/>
        <v>401156.29</v>
      </c>
      <c r="O37" s="57">
        <f t="shared" ca="1" si="17"/>
        <v>13.878823492779595</v>
      </c>
      <c r="P37" s="57">
        <f t="shared" ca="1" si="18"/>
        <v>20.832469892970092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278050</v>
      </c>
      <c r="M41" s="82">
        <f t="shared" ca="1" si="25"/>
        <v>141050</v>
      </c>
      <c r="N41" s="82">
        <f t="shared" ca="1" si="25"/>
        <v>76050</v>
      </c>
      <c r="O41" s="82">
        <f t="shared" ref="O41:O49" ca="1" si="26">IF(L41&gt;0,N41*100/L41,0)</f>
        <v>27.351195828088475</v>
      </c>
      <c r="P41" s="82">
        <f t="shared" ref="P41:P49" ca="1" si="27">IF(M41&gt;0,N41*100/M41,0)</f>
        <v>53.917050691244242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278050</v>
      </c>
      <c r="M43" s="89">
        <f t="shared" ca="1" si="28"/>
        <v>141050</v>
      </c>
      <c r="N43" s="89">
        <f t="shared" ca="1" si="28"/>
        <v>76050</v>
      </c>
      <c r="O43" s="89">
        <f t="shared" ca="1" si="26"/>
        <v>27.351195828088475</v>
      </c>
      <c r="P43" s="89">
        <f t="shared" ca="1" si="27"/>
        <v>53.917050691244242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278050</v>
      </c>
      <c r="M44" s="495">
        <f t="shared" ca="1" si="29"/>
        <v>141050</v>
      </c>
      <c r="N44" s="495">
        <f t="shared" ca="1" si="29"/>
        <v>76050</v>
      </c>
      <c r="O44" s="495">
        <f t="shared" ca="1" si="26"/>
        <v>27.351195828088475</v>
      </c>
      <c r="P44" s="495">
        <f t="shared" ca="1" si="27"/>
        <v>53.917050691244242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IFERROR(__xludf.DUMMYFUNCTION("IMPORTRANGE(""https://docs.google.com/spreadsheets/d/1MeEWN-I1oV_STSDYn1IFDPWt_1FKiwhDph83XaGc0o0/edit?usp=sharing"",""งบพรบ!M58"")"),278050)</f>
        <v>278050</v>
      </c>
      <c r="M46" s="90">
        <f ca="1">IFERROR(__xludf.DUMMYFUNCTION("IMPORTRANGE(""https://docs.google.com/spreadsheets/d/1MeEWN-I1oV_STSDYn1IFDPWt_1FKiwhDph83XaGc0o0/edit?usp=sharing"",""งบพรบ!R58"")"),141050)</f>
        <v>141050</v>
      </c>
      <c r="N46" s="90">
        <f ca="1">IFERROR(__xludf.DUMMYFUNCTION("IMPORTRANGE(""https://docs.google.com/spreadsheets/d/1MeEWN-I1oV_STSDYn1IFDPWt_1FKiwhDph83XaGc0o0/edit?usp=sharing"",""งบพรบ!T58"")"),76050)</f>
        <v>76050</v>
      </c>
      <c r="O46" s="90">
        <f t="shared" ca="1" si="26"/>
        <v>27.351195828088475</v>
      </c>
      <c r="P46" s="90">
        <f t="shared" ca="1" si="27"/>
        <v>53.917050691244242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IFERROR(__xludf.DUMMYFUNCTION("IMPORTRANGE(""https://docs.google.com/spreadsheets/d/1MeEWN-I1oV_STSDYn1IFDPWt_1FKiwhDph83XaGc0o0/edit?usp=sharing"",""งบพรบ!P58"")"),0)</f>
        <v>0</v>
      </c>
      <c r="M49" s="51">
        <f ca="1">IFERROR(__xludf.DUMMYFUNCTION("IMPORTRANGE(""https://docs.google.com/spreadsheets/d/1MeEWN-I1oV_STSDYn1IFDPWt_1FKiwhDph83XaGc0o0/edit?usp=sharing"",""งบพรบ!S58"")"),0)</f>
        <v>0</v>
      </c>
      <c r="N49" s="51">
        <f ca="1">IFERROR(__xludf.DUMMYFUNCTION("IMPORTRANGE(""https://docs.google.com/spreadsheets/d/1MeEWN-I1oV_STSDYn1IFDPWt_1FKiwhDph83XaGc0o0/edit?usp=sharing"",""งบพรบ!U58"")"),0)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1417900</v>
      </c>
      <c r="M53" s="112">
        <f t="shared" ca="1" si="31"/>
        <v>1101450</v>
      </c>
      <c r="N53" s="112">
        <f t="shared" ca="1" si="31"/>
        <v>90922.29</v>
      </c>
      <c r="O53" s="112">
        <f t="shared" ref="O53:O61" ca="1" si="32">IF(L53&gt;0,N53*100/L53,0)</f>
        <v>6.4124613865575855</v>
      </c>
      <c r="P53" s="112">
        <f t="shared" ref="P53:P61" ca="1" si="33">IF(M53&gt;0,N53*100/M53,0)</f>
        <v>8.2547814244859055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1417900</v>
      </c>
      <c r="M55" s="119">
        <f t="shared" ca="1" si="34"/>
        <v>1101450</v>
      </c>
      <c r="N55" s="119">
        <f t="shared" ca="1" si="34"/>
        <v>90922.29</v>
      </c>
      <c r="O55" s="119">
        <f t="shared" ca="1" si="32"/>
        <v>6.4124613865575855</v>
      </c>
      <c r="P55" s="119">
        <f t="shared" ca="1" si="33"/>
        <v>8.2547814244859055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632900</v>
      </c>
      <c r="M56" s="495">
        <f t="shared" ca="1" si="35"/>
        <v>316450</v>
      </c>
      <c r="N56" s="495">
        <f t="shared" ca="1" si="35"/>
        <v>90922.29</v>
      </c>
      <c r="O56" s="495">
        <f t="shared" ca="1" si="32"/>
        <v>14.365980407647339</v>
      </c>
      <c r="P56" s="495">
        <f t="shared" ca="1" si="33"/>
        <v>28.731960815294677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IFERROR(__xludf.DUMMYFUNCTION("IMPORTRANGE(""https://docs.google.com/spreadsheets/d/1MeEWN-I1oV_STSDYn1IFDPWt_1FKiwhDph83XaGc0o0/edit?usp=sharing"",""งบพรบ!W58"")"),632900)</f>
        <v>632900</v>
      </c>
      <c r="M58" s="90">
        <f ca="1">IFERROR(__xludf.DUMMYFUNCTION("IMPORTRANGE(""https://docs.google.com/spreadsheets/d/1MeEWN-I1oV_STSDYn1IFDPWt_1FKiwhDph83XaGc0o0/edit?usp=sharing"",""งบพรบ!AB58"")"),316450)</f>
        <v>316450</v>
      </c>
      <c r="N58" s="90">
        <f ca="1">IFERROR(__xludf.DUMMYFUNCTION("IMPORTRANGE(""https://docs.google.com/spreadsheets/d/1MeEWN-I1oV_STSDYn1IFDPWt_1FKiwhDph83XaGc0o0/edit?usp=sharing"",""งบพรบ!AD58"")"),90922.29)</f>
        <v>90922.29</v>
      </c>
      <c r="O58" s="90">
        <f t="shared" ca="1" si="32"/>
        <v>14.365980407647339</v>
      </c>
      <c r="P58" s="90">
        <f t="shared" ca="1" si="33"/>
        <v>28.731960815294677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785000</v>
      </c>
      <c r="M59" s="495">
        <f t="shared" ca="1" si="36"/>
        <v>785000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IFERROR(__xludf.DUMMYFUNCTION("IMPORTRANGE(""https://docs.google.com/spreadsheets/d/1MeEWN-I1oV_STSDYn1IFDPWt_1FKiwhDph83XaGc0o0/edit?usp=sharing"",""งบพรบ!Z58"")"),785000)</f>
        <v>785000</v>
      </c>
      <c r="M61" s="51">
        <f ca="1">IFERROR(__xludf.DUMMYFUNCTION("IMPORTRANGE(""https://docs.google.com/spreadsheets/d/1MeEWN-I1oV_STSDYn1IFDPWt_1FKiwhDph83XaGc0o0/edit?usp=sharing"",""งบพรบ!AC58"")"),785000)</f>
        <v>785000</v>
      </c>
      <c r="N61" s="51">
        <f ca="1">IFERROR(__xludf.DUMMYFUNCTION("IMPORTRANGE(""https://docs.google.com/spreadsheets/d/1MeEWN-I1oV_STSDYn1IFDPWt_1FKiwhDph83XaGc0o0/edit?usp=sharing"",""งบพรบ!AE58"")"),0)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IFERROR(__xludf.DUMMYFUNCTION("IMPORTRANGE(""https://docs.google.com/spreadsheets/d/1MeEWN-I1oV_STSDYn1IFDPWt_1FKiwhDph83XaGc0o0/edit?usp=sharing"",""งบพรบ!AG58"")"),0)</f>
        <v>0</v>
      </c>
      <c r="M71" s="90">
        <f ca="1">IFERROR(__xludf.DUMMYFUNCTION("IMPORTRANGE(""https://docs.google.com/spreadsheets/d/1MeEWN-I1oV_STSDYn1IFDPWt_1FKiwhDph83XaGc0o0/edit?usp=sharing"",""งบพรบ!AL58"")"),0)</f>
        <v>0</v>
      </c>
      <c r="N71" s="90">
        <f ca="1">IFERROR(__xludf.DUMMYFUNCTION("IMPORTRANGE(""https://docs.google.com/spreadsheets/d/1MeEWN-I1oV_STSDYn1IFDPWt_1FKiwhDph83XaGc0o0/edit?usp=sharing"",""งบพรบ!AN58"")"),0)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IFERROR(__xludf.DUMMYFUNCTION("IMPORTRANGE(""https://docs.google.com/spreadsheets/d/1MeEWN-I1oV_STSDYn1IFDPWt_1FKiwhDph83XaGc0o0/edit?usp=sharing"",""งบพรบ!AJ58"")"),0)</f>
        <v>0</v>
      </c>
      <c r="M74" s="90">
        <f ca="1">IFERROR(__xludf.DUMMYFUNCTION("IMPORTRANGE(""https://docs.google.com/spreadsheets/d/1MeEWN-I1oV_STSDYn1IFDPWt_1FKiwhDph83XaGc0o0/edit?usp=sharing"",""งบพรบ!AM58"")"),0)</f>
        <v>0</v>
      </c>
      <c r="N74" s="90">
        <f ca="1">IFERROR(__xludf.DUMMYFUNCTION("IMPORTRANGE(""https://docs.google.com/spreadsheets/d/1MeEWN-I1oV_STSDYn1IFDPWt_1FKiwhDph83XaGc0o0/edit?usp=sharing"",""งบพรบ!AO58"")"),0)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IFERROR(__xludf.DUMMYFUNCTION("IMPORTRANGE(""https://docs.google.com/spreadsheets/d/1QqKyyYR6Q21VydFLVH3TRQUabQu_ym0Zz7PgGX0-kHA/edit?usp=sharing"",""แผน!H58"")"),0)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IFERROR(__xludf.DUMMYFUNCTION("IMPORTRANGE(""https://docs.google.com/spreadsheets/d/1QqKyyYR6Q21VydFLVH3TRQUabQu_ym0Zz7PgGX0-kHA/edit?usp=sharing"",""แผน!I58"")"),0)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IFERROR(__xludf.DUMMYFUNCTION("IMPORTRANGE(""https://docs.google.com/spreadsheets/d/1QqKyyYR6Q21VydFLVH3TRQUabQu_ym0Zz7PgGX0-kHA/edit?usp=sharing"",""แผน!F58"")"),0)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IFERROR(__xludf.DUMMYFUNCTION("IMPORTRANGE(""https://docs.google.com/spreadsheets/d/1QqKyyYR6Q21VydFLVH3TRQUabQu_ym0Zz7PgGX0-kHA/edit?usp=sharing"",""แผน!G58"")"),0)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IFERROR(__xludf.DUMMYFUNCTION("IMPORTRANGE(""https://docs.google.com/spreadsheets/d/1QqKyyYR6Q21VydFLVH3TRQUabQu_ym0Zz7PgGX0-kHA/edit?usp=sharing"",""แผน!D58"")"),0)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IFERROR(__xludf.DUMMYFUNCTION("IMPORTRANGE(""https://docs.google.com/spreadsheets/d/1QqKyyYR6Q21VydFLVH3TRQUabQu_ym0Zz7PgGX0-kHA/edit?usp=sharing"",""แผน!E58"")"),0)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IFERROR(__xludf.DUMMYFUNCTION("IMPORTRANGE(""https://docs.google.com/spreadsheets/d/1QqKyyYR6Q21VydFLVH3TRQUabQu_ym0Zz7PgGX0-kHA/edit?usp=sharing"",""แผน!J58"")"),0)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30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372140</v>
      </c>
      <c r="M88" s="151">
        <f t="shared" ca="1" si="49"/>
        <v>158490</v>
      </c>
      <c r="N88" s="151">
        <f t="shared" ca="1" si="49"/>
        <v>45907</v>
      </c>
      <c r="O88" s="151">
        <f t="shared" ref="O88:O96" ca="1" si="50">IF(L88&gt;0,N88*100/L88,0)</f>
        <v>12.335948836459398</v>
      </c>
      <c r="P88" s="151">
        <f t="shared" ref="P88:P96" ca="1" si="51">IF(M88&gt;0,N88*100/M88,0)</f>
        <v>28.965234399646665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372140</v>
      </c>
      <c r="M90" s="90">
        <f t="shared" ca="1" si="52"/>
        <v>158490</v>
      </c>
      <c r="N90" s="90">
        <f t="shared" ca="1" si="52"/>
        <v>45907</v>
      </c>
      <c r="O90" s="90">
        <f t="shared" ca="1" si="50"/>
        <v>12.335948836459398</v>
      </c>
      <c r="P90" s="90">
        <f t="shared" ca="1" si="51"/>
        <v>28.965234399646665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372140</v>
      </c>
      <c r="M91" s="495">
        <f t="shared" ca="1" si="53"/>
        <v>158490</v>
      </c>
      <c r="N91" s="495">
        <f t="shared" ca="1" si="53"/>
        <v>45907</v>
      </c>
      <c r="O91" s="495">
        <f t="shared" ca="1" si="50"/>
        <v>12.335948836459398</v>
      </c>
      <c r="P91" s="495">
        <f t="shared" ca="1" si="51"/>
        <v>28.965234399646665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IFERROR(__xludf.DUMMYFUNCTION("IMPORTRANGE(""https://docs.google.com/spreadsheets/d/1MeEWN-I1oV_STSDYn1IFDPWt_1FKiwhDph83XaGc0o0/edit?usp=sharing"",""งบพรบ!AQ58"")"),372140)</f>
        <v>372140</v>
      </c>
      <c r="M93" s="90">
        <f ca="1">IFERROR(__xludf.DUMMYFUNCTION("IMPORTRANGE(""https://docs.google.com/spreadsheets/d/1MeEWN-I1oV_STSDYn1IFDPWt_1FKiwhDph83XaGc0o0/edit?usp=sharing"",""งบพรบ!AV58"")"),158490)</f>
        <v>158490</v>
      </c>
      <c r="N93" s="90">
        <f ca="1">IFERROR(__xludf.DUMMYFUNCTION("IMPORTRANGE(""https://docs.google.com/spreadsheets/d/1MeEWN-I1oV_STSDYn1IFDPWt_1FKiwhDph83XaGc0o0/edit?usp=sharing"",""งบพรบ!AX58"")"),45907)</f>
        <v>45907</v>
      </c>
      <c r="O93" s="90">
        <f t="shared" ca="1" si="50"/>
        <v>12.335948836459398</v>
      </c>
      <c r="P93" s="90">
        <f t="shared" ca="1" si="51"/>
        <v>28.965234399646665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IFERROR(__xludf.DUMMYFUNCTION("IMPORTRANGE(""https://docs.google.com/spreadsheets/d/1MeEWN-I1oV_STSDYn1IFDPWt_1FKiwhDph83XaGc0o0/edit?usp=sharing"",""งบพรบ!AT58"")"),0)</f>
        <v>0</v>
      </c>
      <c r="M96" s="90">
        <f ca="1">IFERROR(__xludf.DUMMYFUNCTION("IMPORTRANGE(""https://docs.google.com/spreadsheets/d/1MeEWN-I1oV_STSDYn1IFDPWt_1FKiwhDph83XaGc0o0/edit?usp=sharing"",""งบพรบ!AW58"")"),0)</f>
        <v>0</v>
      </c>
      <c r="N96" s="90">
        <f ca="1">IFERROR(__xludf.DUMMYFUNCTION("IMPORTRANGE(""https://docs.google.com/spreadsheets/d/1MeEWN-I1oV_STSDYn1IFDPWt_1FKiwhDph83XaGc0o0/edit?usp=sharing"",""งบพรบ!AY58"")"),0)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IFERROR(__xludf.DUMMYFUNCTION("IMPORTRANGE(""https://docs.google.com/spreadsheets/d/1QqKyyYR6Q21VydFLVH3TRQUabQu_ym0Zz7PgGX0-kHA/edit?usp=sharing"",""แผน!K58"")"),30)</f>
        <v>30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IFERROR(__xludf.DUMMYFUNCTION("IMPORTRANGE(""https://docs.google.com/spreadsheets/d/1QqKyyYR6Q21VydFLVH3TRQUabQu_ym0Zz7PgGX0-kHA/edit?usp=sharing"",""แผน!L58"")"),10)</f>
        <v>10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IFERROR(__xludf.DUMMYFUNCTION("IMPORTRANGE(""https://docs.google.com/spreadsheets/d/1QqKyyYR6Q21VydFLVH3TRQUabQu_ym0Zz7PgGX0-kHA/edit?usp=sharing"",""แผน!M58"")"),2)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IFERROR(__xludf.DUMMYFUNCTION("IMPORTRANGE(""https://docs.google.com/spreadsheets/d/1QqKyyYR6Q21VydFLVH3TRQUabQu_ym0Zz7PgGX0-kHA/edit?usp=sharing"",""แผน!N58"")"),30)</f>
        <v>30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IFERROR(__xludf.DUMMYFUNCTION("IMPORTRANGE(""https://docs.google.com/spreadsheets/d/1QqKyyYR6Q21VydFLVH3TRQUabQu_ym0Zz7PgGX0-kHA/edit?usp=sharing"",""แผน!O58"")"),10)</f>
        <v>10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IFERROR(__xludf.DUMMYFUNCTION("IMPORTRANGE(""https://docs.google.com/spreadsheets/d/1QqKyyYR6Q21VydFLVH3TRQUabQu_ym0Zz7PgGX0-kHA/edit?usp=sharing"",""แผน!O58"")"),10)</f>
        <v>10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IFERROR(__xludf.DUMMYFUNCTION("IMPORTRANGE(""https://docs.google.com/spreadsheets/d/1QqKyyYR6Q21VydFLVH3TRQUabQu_ym0Zz7PgGX0-kHA/edit?usp=sharing"",""แผน!P58"")"),1)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IFERROR(__xludf.DUMMYFUNCTION("IMPORTRANGE(""https://docs.google.com/spreadsheets/d/1QqKyyYR6Q21VydFLVH3TRQUabQu_ym0Zz7PgGX0-kHA/edit?usp=sharing"",""แผน!P58"")"),1)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IFERROR(__xludf.DUMMYFUNCTION("IMPORTRANGE(""https://docs.google.com/spreadsheets/d/1QqKyyYR6Q21VydFLVH3TRQUabQu_ym0Zz7PgGX0-kHA/edit?usp=sharing"",""แผน!Q58"")"),1)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IFERROR(__xludf.DUMMYFUNCTION("IMPORTRANGE(""https://docs.google.com/spreadsheets/d/1QqKyyYR6Q21VydFLVH3TRQUabQu_ym0Zz7PgGX0-kHA/edit?usp=sharing"",""แผน!Q58"")"),1)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IFERROR(__xludf.DUMMYFUNCTION("IMPORTRANGE(""https://docs.google.com/spreadsheets/d/1QqKyyYR6Q21VydFLVH3TRQUabQu_ym0Zz7PgGX0-kHA/edit?usp=sharing"",""แผน!R58"")"),10)</f>
        <v>10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IFERROR(__xludf.DUMMYFUNCTION("IMPORTRANGE(""https://docs.google.com/spreadsheets/d/1QqKyyYR6Q21VydFLVH3TRQUabQu_ym0Zz7PgGX0-kHA/edit?usp=sharing"",""แผน!R58"")"),10)</f>
        <v>10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IFERROR(__xludf.DUMMYFUNCTION("IMPORTRANGE(""https://docs.google.com/spreadsheets/d/1QqKyyYR6Q21VydFLVH3TRQUabQu_ym0Zz7PgGX0-kHA/edit?usp=sharing"",""แผน!R58"")"),10)</f>
        <v>10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IFERROR(__xludf.DUMMYFUNCTION("IMPORTRANGE(""https://docs.google.com/spreadsheets/d/1QqKyyYR6Q21VydFLVH3TRQUabQu_ym0Zz7PgGX0-kHA/edit?usp=sharing"",""แผน!S58"")"),1)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IFERROR(__xludf.DUMMYFUNCTION("IMPORTRANGE(""https://docs.google.com/spreadsheets/d/1QqKyyYR6Q21VydFLVH3TRQUabQu_ym0Zz7PgGX0-kHA/edit?usp=sharing"",""แผน!T58"")"),1)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IFERROR(__xludf.DUMMYFUNCTION("IMPORTRANGE(""https://docs.google.com/spreadsheets/d/1MeEWN-I1oV_STSDYn1IFDPWt_1FKiwhDph83XaGc0o0/edit?usp=sharing"",""งบพรบ!BA58"")"),0)</f>
        <v>0</v>
      </c>
      <c r="M124" s="90">
        <f ca="1">IFERROR(__xludf.DUMMYFUNCTION("IMPORTRANGE(""https://docs.google.com/spreadsheets/d/1MeEWN-I1oV_STSDYn1IFDPWt_1FKiwhDph83XaGc0o0/edit?usp=sharing"",""งบพรบ!BF58"")"),0)</f>
        <v>0</v>
      </c>
      <c r="N124" s="90">
        <f ca="1">IFERROR(__xludf.DUMMYFUNCTION("IMPORTRANGE(""https://docs.google.com/spreadsheets/d/1MeEWN-I1oV_STSDYn1IFDPWt_1FKiwhDph83XaGc0o0/edit?usp=sharing"",""งบพรบ!BH58"")"),0)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IFERROR(__xludf.DUMMYFUNCTION("IMPORTRANGE(""https://docs.google.com/spreadsheets/d/1MeEWN-I1oV_STSDYn1IFDPWt_1FKiwhDph83XaGc0o0/edit?usp=sharing"",""งบพรบ!BD58"")"),0)</f>
        <v>0</v>
      </c>
      <c r="M127" s="90">
        <f ca="1">IFERROR(__xludf.DUMMYFUNCTION("IMPORTRANGE(""https://docs.google.com/spreadsheets/d/1MeEWN-I1oV_STSDYn1IFDPWt_1FKiwhDph83XaGc0o0/edit?usp=sharing"",""งบพรบ!BG58"")"),0)</f>
        <v>0</v>
      </c>
      <c r="N127" s="90">
        <f ca="1">IFERROR(__xludf.DUMMYFUNCTION("IMPORTRANGE(""https://docs.google.com/spreadsheets/d/1MeEWN-I1oV_STSDYn1IFDPWt_1FKiwhDph83XaGc0o0/edit?usp=sharing"",""งบพรบ!BI58"")"),0)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IFERROR(__xludf.DUMMYFUNCTION("IMPORTRANGE(""https://docs.google.com/spreadsheets/d/1MeEWN-I1oV_STSDYn1IFDPWt_1FKiwhDph83XaGc0o0/edit?usp=sharing"",""งบพรบ!BK58"")"),0)</f>
        <v>0</v>
      </c>
      <c r="M137" s="90">
        <f ca="1">IFERROR(__xludf.DUMMYFUNCTION("IMPORTRANGE(""https://docs.google.com/spreadsheets/d/1MeEWN-I1oV_STSDYn1IFDPWt_1FKiwhDph83XaGc0o0/edit?usp=sharing"",""งบพรบ!BP58"")"),0)</f>
        <v>0</v>
      </c>
      <c r="N137" s="90">
        <f ca="1">IFERROR(__xludf.DUMMYFUNCTION("IMPORTRANGE(""https://docs.google.com/spreadsheets/d/1MeEWN-I1oV_STSDYn1IFDPWt_1FKiwhDph83XaGc0o0/edit?usp=sharing"",""งบพรบ!BR58"")"),0)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IFERROR(__xludf.DUMMYFUNCTION("IMPORTRANGE(""https://docs.google.com/spreadsheets/d/1MeEWN-I1oV_STSDYn1IFDPWt_1FKiwhDph83XaGc0o0/edit?usp=sharing"",""งบพรบ!BN58"")"),0)</f>
        <v>0</v>
      </c>
      <c r="M140" s="90">
        <f ca="1">IFERROR(__xludf.DUMMYFUNCTION("IMPORTRANGE(""https://docs.google.com/spreadsheets/d/1MeEWN-I1oV_STSDYn1IFDPWt_1FKiwhDph83XaGc0o0/edit?usp=sharing"",""งบพรบ!BQ58"")"),0)</f>
        <v>0</v>
      </c>
      <c r="N140" s="90">
        <f ca="1">IFERROR(__xludf.DUMMYFUNCTION("IMPORTRANGE(""https://docs.google.com/spreadsheets/d/1MeEWN-I1oV_STSDYn1IFDPWt_1FKiwhDph83XaGc0o0/edit?usp=sharing"",""งบพรบ!BS58"")"),0)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IFERROR(__xludf.DUMMYFUNCTION("IMPORTRANGE(""https://docs.google.com/spreadsheets/d/1QqKyyYR6Q21VydFLVH3TRQUabQu_ym0Zz7PgGX0-kHA/edit?usp=sharing"",""แผน!U58"")"),0)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IFERROR(__xludf.DUMMYFUNCTION("IMPORTRANGE(""https://docs.google.com/spreadsheets/d/1QqKyyYR6Q21VydFLVH3TRQUabQu_ym0Zz7PgGX0-kHA/edit?usp=sharing"",""แผน!V58"")"),0)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IFERROR(__xludf.DUMMYFUNCTION("IMPORTRANGE(""https://docs.google.com/spreadsheets/d/1QqKyyYR6Q21VydFLVH3TRQUabQu_ym0Zz7PgGX0-kHA/edit?usp=sharing"",""แผน!W58"")"),0)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IFERROR(__xludf.DUMMYFUNCTION("IMPORTRANGE(""https://docs.google.com/spreadsheets/d/1MeEWN-I1oV_STSDYn1IFDPWt_1FKiwhDph83XaGc0o0/edit?usp=sharing"",""งบพรบ!BU58"")"),0)</f>
        <v>0</v>
      </c>
      <c r="M154" s="90">
        <f ca="1">IFERROR(__xludf.DUMMYFUNCTION("IMPORTRANGE(""https://docs.google.com/spreadsheets/d/1MeEWN-I1oV_STSDYn1IFDPWt_1FKiwhDph83XaGc0o0/edit?usp=sharing"",""งบพรบ!BZ58"")"),0)</f>
        <v>0</v>
      </c>
      <c r="N154" s="90">
        <f ca="1">IFERROR(__xludf.DUMMYFUNCTION("IMPORTRANGE(""https://docs.google.com/spreadsheets/d/1MeEWN-I1oV_STSDYn1IFDPWt_1FKiwhDph83XaGc0o0/edit?usp=sharing"",""งบพรบ!CB58"")"),0)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IFERROR(__xludf.DUMMYFUNCTION("IMPORTRANGE(""https://docs.google.com/spreadsheets/d/1MeEWN-I1oV_STSDYn1IFDPWt_1FKiwhDph83XaGc0o0/edit?usp=sharing"",""งบพรบ!BX58"")"),0)</f>
        <v>0</v>
      </c>
      <c r="M157" s="90">
        <f ca="1">IFERROR(__xludf.DUMMYFUNCTION("IMPORTRANGE(""https://docs.google.com/spreadsheets/d/1MeEWN-I1oV_STSDYn1IFDPWt_1FKiwhDph83XaGc0o0/edit?usp=sharing"",""งบพรบ!CA58"")"),0)</f>
        <v>0</v>
      </c>
      <c r="N157" s="90">
        <f ca="1">IFERROR(__xludf.DUMMYFUNCTION("IMPORTRANGE(""https://docs.google.com/spreadsheets/d/1MeEWN-I1oV_STSDYn1IFDPWt_1FKiwhDph83XaGc0o0/edit?usp=sharing"",""งบพรบ!CC58"")"),0)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IFERROR(__xludf.DUMMYFUNCTION("IMPORTRANGE(""https://docs.google.com/spreadsheets/d/1QqKyyYR6Q21VydFLVH3TRQUabQu_ym0Zz7PgGX0-kHA/edit?usp=sharing"",""แผน!X58"")"),0)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21050</v>
      </c>
      <c r="O165" s="150">
        <f t="shared" ref="O165:O173" ca="1" si="85">IF(L165&gt;0,N165*100/L165,0)</f>
        <v>100</v>
      </c>
      <c r="P165" s="150">
        <f t="shared" ref="P165:P173" ca="1" si="86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21050</v>
      </c>
      <c r="O167" s="90">
        <f t="shared" ca="1" si="85"/>
        <v>100</v>
      </c>
      <c r="P167" s="90">
        <f t="shared" ca="1" si="86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21050</v>
      </c>
      <c r="O168" s="495">
        <f t="shared" ca="1" si="85"/>
        <v>100</v>
      </c>
      <c r="P168" s="495">
        <f t="shared" ca="1" si="86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IFERROR(__xludf.DUMMYFUNCTION("IMPORTRANGE(""https://docs.google.com/spreadsheets/d/1MeEWN-I1oV_STSDYn1IFDPWt_1FKiwhDph83XaGc0o0/edit?usp=sharing"",""งบพรบ!CE58"")"),21050)</f>
        <v>21050</v>
      </c>
      <c r="M170" s="90">
        <f ca="1">IFERROR(__xludf.DUMMYFUNCTION("IMPORTRANGE(""https://docs.google.com/spreadsheets/d/1MeEWN-I1oV_STSDYn1IFDPWt_1FKiwhDph83XaGc0o0/edit?usp=sharing"",""งบพรบ!CJ58"")"),21050)</f>
        <v>21050</v>
      </c>
      <c r="N170" s="90">
        <f ca="1">IFERROR(__xludf.DUMMYFUNCTION("IMPORTRANGE(""https://docs.google.com/spreadsheets/d/1MeEWN-I1oV_STSDYn1IFDPWt_1FKiwhDph83XaGc0o0/edit?usp=sharing"",""งบพรบ!CL58"")"),21050)</f>
        <v>21050</v>
      </c>
      <c r="O170" s="90">
        <f t="shared" ca="1" si="85"/>
        <v>100</v>
      </c>
      <c r="P170" s="90">
        <f t="shared" ca="1" si="86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IFERROR(__xludf.DUMMYFUNCTION("IMPORTRANGE(""https://docs.google.com/spreadsheets/d/1MeEWN-I1oV_STSDYn1IFDPWt_1FKiwhDph83XaGc0o0/edit?usp=sharing"",""งบพรบ!CH58"")"),0)</f>
        <v>0</v>
      </c>
      <c r="M173" s="90">
        <f ca="1">IFERROR(__xludf.DUMMYFUNCTION("IMPORTRANGE(""https://docs.google.com/spreadsheets/d/1MeEWN-I1oV_STSDYn1IFDPWt_1FKiwhDph83XaGc0o0/edit?usp=sharing"",""งบพรบ!CK58"")"),0)</f>
        <v>0</v>
      </c>
      <c r="N173" s="90">
        <f ca="1">IFERROR(__xludf.DUMMYFUNCTION("IMPORTRANGE(""https://docs.google.com/spreadsheets/d/1MeEWN-I1oV_STSDYn1IFDPWt_1FKiwhDph83XaGc0o0/edit?usp=sharing"",""งบพรบ!CM58"")"),0)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IFERROR(__xludf.DUMMYFUNCTION("IMPORTRANGE(""https://docs.google.com/spreadsheets/d/1QqKyyYR6Q21VydFLVH3TRQUabQu_ym0Zz7PgGX0-kHA/edit?usp=sharing"",""แผน!Y58"")"),10)</f>
        <v>10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38600</v>
      </c>
      <c r="M181" s="150">
        <f t="shared" ca="1" si="91"/>
        <v>21000</v>
      </c>
      <c r="N181" s="150">
        <f t="shared" ca="1" si="91"/>
        <v>7250</v>
      </c>
      <c r="O181" s="150">
        <f t="shared" ref="O181:O189" ca="1" si="92">IF(L181&gt;0,N181*100/L181,0)</f>
        <v>18.782383419689118</v>
      </c>
      <c r="P181" s="150">
        <f t="shared" ref="P181:P189" ca="1" si="93">IF(M181&gt;0,N181*100/M181,0)</f>
        <v>34.523809523809526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38600</v>
      </c>
      <c r="M183" s="90">
        <f t="shared" ca="1" si="94"/>
        <v>21000</v>
      </c>
      <c r="N183" s="90">
        <f t="shared" ca="1" si="94"/>
        <v>7250</v>
      </c>
      <c r="O183" s="90">
        <f t="shared" ca="1" si="92"/>
        <v>18.782383419689118</v>
      </c>
      <c r="P183" s="90">
        <f t="shared" ca="1" si="93"/>
        <v>34.523809523809526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38600</v>
      </c>
      <c r="M184" s="495">
        <f t="shared" ca="1" si="95"/>
        <v>21000</v>
      </c>
      <c r="N184" s="495">
        <f t="shared" ca="1" si="95"/>
        <v>7250</v>
      </c>
      <c r="O184" s="495">
        <f t="shared" ca="1" si="92"/>
        <v>18.782383419689118</v>
      </c>
      <c r="P184" s="495">
        <f t="shared" ca="1" si="93"/>
        <v>34.523809523809526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IFERROR(__xludf.DUMMYFUNCTION("IMPORTRANGE(""https://docs.google.com/spreadsheets/d/1MeEWN-I1oV_STSDYn1IFDPWt_1FKiwhDph83XaGc0o0/edit?usp=sharing"",""งบพรบ!CO58"")"),38600)</f>
        <v>38600</v>
      </c>
      <c r="M186" s="90">
        <f ca="1">IFERROR(__xludf.DUMMYFUNCTION("IMPORTRANGE(""https://docs.google.com/spreadsheets/d/1MeEWN-I1oV_STSDYn1IFDPWt_1FKiwhDph83XaGc0o0/edit?usp=sharing"",""งบพรบ!CT58"")"),21000)</f>
        <v>21000</v>
      </c>
      <c r="N186" s="90">
        <f ca="1">IFERROR(__xludf.DUMMYFUNCTION("IMPORTRANGE(""https://docs.google.com/spreadsheets/d/1MeEWN-I1oV_STSDYn1IFDPWt_1FKiwhDph83XaGc0o0/edit?usp=sharing"",""งบพรบ!CV58"")"),7250)</f>
        <v>7250</v>
      </c>
      <c r="O186" s="90">
        <f t="shared" ca="1" si="92"/>
        <v>18.782383419689118</v>
      </c>
      <c r="P186" s="90">
        <f t="shared" ca="1" si="93"/>
        <v>34.523809523809526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IFERROR(__xludf.DUMMYFUNCTION("IMPORTRANGE(""https://docs.google.com/spreadsheets/d/1MeEWN-I1oV_STSDYn1IFDPWt_1FKiwhDph83XaGc0o0/edit?usp=sharing"",""งบพรบ!CR58"")"),0)</f>
        <v>0</v>
      </c>
      <c r="M189" s="90">
        <f ca="1">IFERROR(__xludf.DUMMYFUNCTION("IMPORTRANGE(""https://docs.google.com/spreadsheets/d/1MeEWN-I1oV_STSDYn1IFDPWt_1FKiwhDph83XaGc0o0/edit?usp=sharing"",""งบพรบ!CU58"")"),0)</f>
        <v>0</v>
      </c>
      <c r="N189" s="90">
        <f ca="1">IFERROR(__xludf.DUMMYFUNCTION("IMPORTRANGE(""https://docs.google.com/spreadsheets/d/1MeEWN-I1oV_STSDYn1IFDPWt_1FKiwhDph83XaGc0o0/edit?usp=sharing"",""งบพรบ!CW58"")"),0)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IFERROR(__xludf.DUMMYFUNCTION("IMPORTRANGE(""https://docs.google.com/spreadsheets/d/1QqKyyYR6Q21VydFLVH3TRQUabQu_ym0Zz7PgGX0-kHA/edit?usp=sharing"",""แผน!Z58"")"),6000)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IFERROR(__xludf.DUMMYFUNCTION("IMPORTRANGE(""https://docs.google.com/spreadsheets/d/1QqKyyYR6Q21VydFLVH3TRQUabQu_ym0Zz7PgGX0-kHA/edit?usp=sharing"",""แผน!AC58"")"),4)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1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13000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IFERROR(__xludf.DUMMYFUNCTION("IMPORTRANGE(""https://docs.google.com/spreadsheets/d/1QqKyyYR6Q21VydFLVH3TRQUabQu_ym0Zz7PgGX0-kHA/edit?usp=sharing"",""แผน!AE58"")"),1000)</f>
        <v>1000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IFERROR(__xludf.DUMMYFUNCTION("IMPORTRANGE(""https://docs.google.com/spreadsheets/d/1QqKyyYR6Q21VydFLVH3TRQUabQu_ym0Zz7PgGX0-kHA/edit?usp=sharing"",""แผน!AF58"")"),8000)</f>
        <v>8000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IFERROR(__xludf.DUMMYFUNCTION("IMPORTRANGE(""https://docs.google.com/spreadsheets/d/1QqKyyYR6Q21VydFLVH3TRQUabQu_ym0Zz7PgGX0-kHA/edit?usp=sharing"",""แผน!AG58"")"),4000)</f>
        <v>4000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IFERROR(__xludf.DUMMYFUNCTION("IMPORTRANGE(""https://docs.google.com/spreadsheets/d/1QqKyyYR6Q21VydFLVH3TRQUabQu_ym0Zz7PgGX0-kHA/edit?usp=sharing"",""แผน!AH58"")"),0)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IFERROR(__xludf.DUMMYFUNCTION("IMPORTRANGE(""https://docs.google.com/spreadsheets/d/1QqKyyYR6Q21VydFLVH3TRQUabQu_ym0Zz7PgGX0-kHA/edit?usp=sharing"",""แผน!AI58"")"),1)</f>
        <v>1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1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1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14000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IFERROR(__xludf.DUMMYFUNCTION("IMPORTRANGE(""https://docs.google.com/spreadsheets/d/1QqKyyYR6Q21VydFLVH3TRQUabQu_ym0Zz7PgGX0-kHA/edit?usp=sharing"",""แผน!AK58"")"),1000)</f>
        <v>1000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IFERROR(__xludf.DUMMYFUNCTION("IMPORTRANGE(""https://docs.google.com/spreadsheets/d/1QqKyyYR6Q21VydFLVH3TRQUabQu_ym0Zz7PgGX0-kHA/edit?usp=sharing"",""แผน!AL58"")"),5000)</f>
        <v>5000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IFERROR(__xludf.DUMMYFUNCTION("IMPORTRANGE(""https://docs.google.com/spreadsheets/d/1QqKyyYR6Q21VydFLVH3TRQUabQu_ym0Zz7PgGX0-kHA/edit?usp=sharing"",""แผน!AM58"")"),8000)</f>
        <v>8000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IFERROR(__xludf.DUMMYFUNCTION("IMPORTRANGE(""https://docs.google.com/spreadsheets/d/1QqKyyYR6Q21VydFLVH3TRQUabQu_ym0Zz7PgGX0-kHA/edit?usp=sharing"",""แผน!AN58"")"),1)</f>
        <v>1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IFERROR(__xludf.DUMMYFUNCTION("IMPORTRANGE(""https://docs.google.com/spreadsheets/d/1QqKyyYR6Q21VydFLVH3TRQUabQu_ym0Zz7PgGX0-kHA/edit?usp=sharing"",""แผน!AN58"")"),1)</f>
        <v>1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3200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5600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IFERROR(__xludf.DUMMYFUNCTION("IMPORTRANGE(""https://docs.google.com/spreadsheets/d/1QqKyyYR6Q21VydFLVH3TRQUabQu_ym0Zz7PgGX0-kHA/edit?usp=sharing"",""แผน!AP58"")"),3000)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IFERROR(__xludf.DUMMYFUNCTION("IMPORTRANGE(""https://docs.google.com/spreadsheets/d/1QqKyyYR6Q21VydFLVH3TRQUabQu_ym0Zz7PgGX0-kHA/edit?usp=sharing"",""แผน!AQ58"")"),2600)</f>
        <v>2600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IFERROR(__xludf.DUMMYFUNCTION("IMPORTRANGE(""https://docs.google.com/spreadsheets/d/1QqKyyYR6Q21VydFLVH3TRQUabQu_ym0Zz7PgGX0-kHA/edit?usp=sharing"",""แผน!AR58"")"),0)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IFERROR(__xludf.DUMMYFUNCTION("IMPORTRANGE(""https://docs.google.com/spreadsheets/d/1QqKyyYR6Q21VydFLVH3TRQUabQu_ym0Zz7PgGX0-kHA/edit?usp=sharing"",""แผน!AT58"")"),3200)</f>
        <v>3200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IFERROR(__xludf.DUMMYFUNCTION("IMPORTRANGE(""https://docs.google.com/spreadsheets/d/1QqKyyYR6Q21VydFLVH3TRQUabQu_ym0Zz7PgGX0-kHA/edit?usp=sharing"",""แผน!AT58"")"),3200)</f>
        <v>3200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IFERROR(__xludf.DUMMYFUNCTION("IMPORTRANGE(""https://docs.google.com/spreadsheets/d/1QqKyyYR6Q21VydFLVH3TRQUabQu_ym0Zz7PgGX0-kHA/edit?usp=sharing"",""แผน!AS58"")"),0)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0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IFERROR(__xludf.DUMMYFUNCTION("IMPORTRANGE(""https://docs.google.com/spreadsheets/d/1QqKyyYR6Q21VydFLVH3TRQUabQu_ym0Zz7PgGX0-kHA/edit?usp=sharing"",""แผน!AV58"")"),0)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IFERROR(__xludf.DUMMYFUNCTION("IMPORTRANGE(""https://docs.google.com/spreadsheets/d/1QqKyyYR6Q21VydFLVH3TRQUabQu_ym0Zz7PgGX0-kHA/edit?usp=sharing"",""แผน!AW58"")"),0)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IFERROR(__xludf.DUMMYFUNCTION("IMPORTRANGE(""https://docs.google.com/spreadsheets/d/1QqKyyYR6Q21VydFLVH3TRQUabQu_ym0Zz7PgGX0-kHA/edit?usp=sharing"",""แผน!AX58"")"),0)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IFERROR(__xludf.DUMMYFUNCTION("IMPORTRANGE(""https://docs.google.com/spreadsheets/d/1QqKyyYR6Q21VydFLVH3TRQUabQu_ym0Zz7PgGX0-kHA/edit?usp=sharing"",""แผน!AY58"")"),0)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IFERROR(__xludf.DUMMYFUNCTION("IMPORTRANGE(""https://docs.google.com/spreadsheets/d/1QqKyyYR6Q21VydFLVH3TRQUabQu_ym0Zz7PgGX0-kHA/edit?usp=sharing"",""แผน!BE58"")"),0)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IFERROR(__xludf.DUMMYFUNCTION("IMPORTRANGE(""https://docs.google.com/spreadsheets/d/1QqKyyYR6Q21VydFLVH3TRQUabQu_ym0Zz7PgGX0-kHA/edit?usp=sharing"",""แผน!AZ58"")"),0)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IFERROR(__xludf.DUMMYFUNCTION("IMPORTRANGE(""https://docs.google.com/spreadsheets/d/1QqKyyYR6Q21VydFLVH3TRQUabQu_ym0Zz7PgGX0-kHA/edit?usp=sharing"",""แผน!BA58"")"),0)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IFERROR(__xludf.DUMMYFUNCTION("IMPORTRANGE(""https://docs.google.com/spreadsheets/d/1QqKyyYR6Q21VydFLVH3TRQUabQu_ym0Zz7PgGX0-kHA/edit?usp=sharing"",""แผน!BB58"")"),0)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IFERROR(__xludf.DUMMYFUNCTION("IMPORTRANGE(""https://docs.google.com/spreadsheets/d/1QqKyyYR6Q21VydFLVH3TRQUabQu_ym0Zz7PgGX0-kHA/edit?usp=sharing"",""แผน!BC58"")"),0)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IFERROR(__xludf.DUMMYFUNCTION("IMPORTRANGE(""https://docs.google.com/spreadsheets/d/1QqKyyYR6Q21VydFLVH3TRQUabQu_ym0Zz7PgGX0-kHA/edit?usp=sharing"",""แผน!BF58"")"),"")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IFERROR(__xludf.DUMMYFUNCTION("IMPORTRANGE(""https://docs.google.com/spreadsheets/d/1MeEWN-I1oV_STSDYn1IFDPWt_1FKiwhDph83XaGc0o0/edit?usp=sharing"",""งบพรบ!CY58"")"),26900)</f>
        <v>26900</v>
      </c>
      <c r="M266" s="90">
        <f ca="1">IFERROR(__xludf.DUMMYFUNCTION("IMPORTRANGE(""https://docs.google.com/spreadsheets/d/1MeEWN-I1oV_STSDYn1IFDPWt_1FKiwhDph83XaGc0o0/edit?usp=sharing"",""งบพรบ!DD58"")"),0)</f>
        <v>0</v>
      </c>
      <c r="N266" s="90">
        <f ca="1">IFERROR(__xludf.DUMMYFUNCTION("IMPORTRANGE(""https://docs.google.com/spreadsheets/d/1MeEWN-I1oV_STSDYn1IFDPWt_1FKiwhDph83XaGc0o0/edit?usp=sharing"",""งบพรบ!DF58"")"),0)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IFERROR(__xludf.DUMMYFUNCTION("IMPORTRANGE(""https://docs.google.com/spreadsheets/d/1MeEWN-I1oV_STSDYn1IFDPWt_1FKiwhDph83XaGc0o0/edit?usp=sharing"",""งบพรบ!DB58"")"),0)</f>
        <v>0</v>
      </c>
      <c r="M269" s="90">
        <f ca="1">IFERROR(__xludf.DUMMYFUNCTION("IMPORTRANGE(""https://docs.google.com/spreadsheets/d/1MeEWN-I1oV_STSDYn1IFDPWt_1FKiwhDph83XaGc0o0/edit?usp=sharing"",""งบพรบ!DE58"")"),0)</f>
        <v>0</v>
      </c>
      <c r="N269" s="90">
        <f ca="1">IFERROR(__xludf.DUMMYFUNCTION("IMPORTRANGE(""https://docs.google.com/spreadsheets/d/1MeEWN-I1oV_STSDYn1IFDPWt_1FKiwhDph83XaGc0o0/edit?usp=sharing"",""งบพรบ!DG58"")"),0)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IFERROR(__xludf.DUMMYFUNCTION("IMPORTRANGE(""https://docs.google.com/spreadsheets/d/1QqKyyYR6Q21VydFLVH3TRQUabQu_ym0Zz7PgGX0-kHA/edit?usp=sharing"",""แผน!EA58"")"),22)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0</v>
      </c>
      <c r="M277" s="151">
        <f t="shared" ca="1" si="124"/>
        <v>0</v>
      </c>
      <c r="N277" s="151">
        <f t="shared" ca="1" si="124"/>
        <v>0</v>
      </c>
      <c r="O277" s="151">
        <f t="shared" ref="O277:O285" ca="1" si="125">IF(L277&gt;0,N277*100/L277,0)</f>
        <v>0</v>
      </c>
      <c r="P277" s="151">
        <f t="shared" ref="P277:P285" ca="1" si="126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0</v>
      </c>
      <c r="M279" s="90">
        <f t="shared" ca="1" si="127"/>
        <v>0</v>
      </c>
      <c r="N279" s="90">
        <f t="shared" ca="1" si="127"/>
        <v>0</v>
      </c>
      <c r="O279" s="90">
        <f t="shared" ca="1" si="125"/>
        <v>0</v>
      </c>
      <c r="P279" s="90">
        <f t="shared" ca="1" si="126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0</v>
      </c>
      <c r="M280" s="495">
        <f t="shared" ca="1" si="128"/>
        <v>0</v>
      </c>
      <c r="N280" s="495">
        <f t="shared" ca="1" si="128"/>
        <v>0</v>
      </c>
      <c r="O280" s="495">
        <f t="shared" ca="1" si="125"/>
        <v>0</v>
      </c>
      <c r="P280" s="495">
        <f t="shared" ca="1" si="126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IFERROR(__xludf.DUMMYFUNCTION("IMPORTRANGE(""https://docs.google.com/spreadsheets/d/1MeEWN-I1oV_STSDYn1IFDPWt_1FKiwhDph83XaGc0o0/edit?usp=sharing"",""งบพรบ!DI58"")"),0)</f>
        <v>0</v>
      </c>
      <c r="M282" s="90">
        <f ca="1">IFERROR(__xludf.DUMMYFUNCTION("IMPORTRANGE(""https://docs.google.com/spreadsheets/d/1MeEWN-I1oV_STSDYn1IFDPWt_1FKiwhDph83XaGc0o0/edit?usp=sharing"",""งบพรบ!DN58"")"),0)</f>
        <v>0</v>
      </c>
      <c r="N282" s="90">
        <f ca="1">IFERROR(__xludf.DUMMYFUNCTION("IMPORTRANGE(""https://docs.google.com/spreadsheets/d/1MeEWN-I1oV_STSDYn1IFDPWt_1FKiwhDph83XaGc0o0/edit?usp=sharing"",""งบพรบ!DP58"")"),0)</f>
        <v>0</v>
      </c>
      <c r="O282" s="90">
        <f t="shared" ca="1" si="125"/>
        <v>0</v>
      </c>
      <c r="P282" s="90">
        <f t="shared" ca="1" si="126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IFERROR(__xludf.DUMMYFUNCTION("IMPORTRANGE(""https://docs.google.com/spreadsheets/d/1MeEWN-I1oV_STSDYn1IFDPWt_1FKiwhDph83XaGc0o0/edit?usp=sharing"",""งบพรบ!DL58"")"),0)</f>
        <v>0</v>
      </c>
      <c r="M285" s="90">
        <f ca="1">IFERROR(__xludf.DUMMYFUNCTION("IMPORTRANGE(""https://docs.google.com/spreadsheets/d/1MeEWN-I1oV_STSDYn1IFDPWt_1FKiwhDph83XaGc0o0/edit?usp=sharing"",""งบพรบ!DO58"")"),0)</f>
        <v>0</v>
      </c>
      <c r="N285" s="90">
        <f ca="1">IFERROR(__xludf.DUMMYFUNCTION("IMPORTRANGE(""https://docs.google.com/spreadsheets/d/1MeEWN-I1oV_STSDYn1IFDPWt_1FKiwhDph83XaGc0o0/edit?usp=sharing"",""งบพรบ!DQ58"")"),0)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IFERROR(__xludf.DUMMYFUNCTION("IMPORTRANGE(""https://docs.google.com/spreadsheets/d/1QqKyyYR6Q21VydFLVH3TRQUabQu_ym0Zz7PgGX0-kHA/edit?usp=sharing"",""แผน!EC58"")"),0)</f>
        <v>0</v>
      </c>
      <c r="J287" s="264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IFERROR(__xludf.DUMMYFUNCTION("IMPORTRANGE(""https://docs.google.com/spreadsheets/d/1QqKyyYR6Q21VydFLVH3TRQUabQu_ym0Zz7PgGX0-kHA/edit?usp=sharing"",""แผน!EB58"")"),0)</f>
        <v>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IFERROR(__xludf.DUMMYFUNCTION("IMPORTRANGE(""https://docs.google.com/spreadsheets/d/1QqKyyYR6Q21VydFLVH3TRQUabQu_ym0Zz7PgGX0-kHA/edit?usp=sharing"",""แผน!EB58"")"),0)</f>
        <v>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IFERROR(__xludf.DUMMYFUNCTION("IMPORTRANGE(""https://docs.google.com/spreadsheets/d/1QqKyyYR6Q21VydFLVH3TRQUabQu_ym0Zz7PgGX0-kHA/edit?usp=sharing"",""แผน!EB58"")"),0)</f>
        <v>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IFERROR(__xludf.DUMMYFUNCTION("IMPORTRANGE(""https://docs.google.com/spreadsheets/d/1QqKyyYR6Q21VydFLVH3TRQUabQu_ym0Zz7PgGX0-kHA/edit?usp=sharing"",""แผน!EB58"")"),0)</f>
        <v>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IFERROR(__xludf.DUMMYFUNCTION("IMPORTRANGE(""https://docs.google.com/spreadsheets/d/1QqKyyYR6Q21VydFLVH3TRQUabQu_ym0Zz7PgGX0-kHA/edit?usp=sharing"",""แผน!EB58"")"),0)</f>
        <v>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 hidden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 hidden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0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 hidden="1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0</v>
      </c>
      <c r="M298" s="151">
        <f t="shared" ca="1" si="134"/>
        <v>0</v>
      </c>
      <c r="N298" s="151">
        <f t="shared" ca="1" si="134"/>
        <v>0</v>
      </c>
      <c r="O298" s="151">
        <f t="shared" ref="O298:O306" ca="1" si="135">IF(L298&gt;0,N298*100/L298,0)</f>
        <v>0</v>
      </c>
      <c r="P298" s="151">
        <f t="shared" ref="P298:P306" ca="1" si="136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0</v>
      </c>
      <c r="M300" s="90">
        <f t="shared" ca="1" si="137"/>
        <v>0</v>
      </c>
      <c r="N300" s="90">
        <f t="shared" ca="1" si="137"/>
        <v>0</v>
      </c>
      <c r="O300" s="90">
        <f t="shared" ca="1" si="135"/>
        <v>0</v>
      </c>
      <c r="P300" s="90">
        <f t="shared" ca="1" si="136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0</v>
      </c>
      <c r="M301" s="495">
        <f t="shared" ca="1" si="138"/>
        <v>0</v>
      </c>
      <c r="N301" s="495">
        <f t="shared" ca="1" si="138"/>
        <v>0</v>
      </c>
      <c r="O301" s="495">
        <f t="shared" ca="1" si="135"/>
        <v>0</v>
      </c>
      <c r="P301" s="495">
        <f t="shared" ca="1" si="136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IFERROR(__xludf.DUMMYFUNCTION("IMPORTRANGE(""https://docs.google.com/spreadsheets/d/1MeEWN-I1oV_STSDYn1IFDPWt_1FKiwhDph83XaGc0o0/edit?usp=sharing"",""งบพรบ!DS58"")"),0)</f>
        <v>0</v>
      </c>
      <c r="M303" s="90">
        <f ca="1">IFERROR(__xludf.DUMMYFUNCTION("IMPORTRANGE(""https://docs.google.com/spreadsheets/d/1MeEWN-I1oV_STSDYn1IFDPWt_1FKiwhDph83XaGc0o0/edit?usp=sharing"",""งบพรบ!DX58"")"),0)</f>
        <v>0</v>
      </c>
      <c r="N303" s="90">
        <f ca="1">IFERROR(__xludf.DUMMYFUNCTION("IMPORTRANGE(""https://docs.google.com/spreadsheets/d/1MeEWN-I1oV_STSDYn1IFDPWt_1FKiwhDph83XaGc0o0/edit?usp=sharing"",""งบพรบ!DZ58"")"),0)</f>
        <v>0</v>
      </c>
      <c r="O303" s="90">
        <f t="shared" ca="1" si="135"/>
        <v>0</v>
      </c>
      <c r="P303" s="90">
        <f t="shared" ca="1" si="136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IFERROR(__xludf.DUMMYFUNCTION("IMPORTRANGE(""https://docs.google.com/spreadsheets/d/1MeEWN-I1oV_STSDYn1IFDPWt_1FKiwhDph83XaGc0o0/edit?usp=sharing"",""งบพรบ!DV58"")"),0)</f>
        <v>0</v>
      </c>
      <c r="M306" s="90">
        <f ca="1">IFERROR(__xludf.DUMMYFUNCTION("IMPORTRANGE(""https://docs.google.com/spreadsheets/d/1MeEWN-I1oV_STSDYn1IFDPWt_1FKiwhDph83XaGc0o0/edit?usp=sharing"",""งบพรบ!DY58"")"),0)</f>
        <v>0</v>
      </c>
      <c r="N306" s="90">
        <f ca="1">IFERROR(__xludf.DUMMYFUNCTION("IMPORTRANGE(""https://docs.google.com/spreadsheets/d/1MeEWN-I1oV_STSDYn1IFDPWt_1FKiwhDph83XaGc0o0/edit?usp=sharing"",""งบพรบ!EA58"")"),0)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 hidden="1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 hidden="1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IFERROR(__xludf.DUMMYFUNCTION("IMPORTRANGE(""https://docs.google.com/spreadsheets/d/1QqKyyYR6Q21VydFLVH3TRQUabQu_ym0Zz7PgGX0-kHA/edit?usp=sharing"",""แผน!ED58"")"),0)</f>
        <v>0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 hidden="1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IFERROR(__xludf.DUMMYFUNCTION("IMPORTRANGE(""https://docs.google.com/spreadsheets/d/1QqKyyYR6Q21VydFLVH3TRQUabQu_ym0Zz7PgGX0-kHA/edit?usp=sharing"",""แผน!ED58"")"),0)</f>
        <v>0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 hidden="1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IFERROR(__xludf.DUMMYFUNCTION("IMPORTRANGE(""https://docs.google.com/spreadsheets/d/1QqKyyYR6Q21VydFLVH3TRQUabQu_ym0Zz7PgGX0-kHA/edit?usp=sharing"",""แผน!ED58"")"),0)</f>
        <v>0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 hidden="1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IFERROR(__xludf.DUMMYFUNCTION("IMPORTRANGE(""https://docs.google.com/spreadsheets/d/1QqKyyYR6Q21VydFLVH3TRQUabQu_ym0Zz7PgGX0-kHA/edit?usp=sharing"",""แผน!EE58"")"),0)</f>
        <v>0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IFERROR(__xludf.DUMMYFUNCTION("IMPORTRANGE(""https://docs.google.com/spreadsheets/d/1MeEWN-I1oV_STSDYn1IFDPWt_1FKiwhDph83XaGc0o0/edit?usp=sharing"",""งบพรบ!EC58"")"),0)</f>
        <v>0</v>
      </c>
      <c r="M320" s="90">
        <f ca="1">IFERROR(__xludf.DUMMYFUNCTION("IMPORTRANGE(""https://docs.google.com/spreadsheets/d/1MeEWN-I1oV_STSDYn1IFDPWt_1FKiwhDph83XaGc0o0/edit?usp=sharing"",""งบพรบ!EH58"")"),0)</f>
        <v>0</v>
      </c>
      <c r="N320" s="90">
        <f ca="1">IFERROR(__xludf.DUMMYFUNCTION("IMPORTRANGE(""https://docs.google.com/spreadsheets/d/1MeEWN-I1oV_STSDYn1IFDPWt_1FKiwhDph83XaGc0o0/edit?usp=sharing"",""งบพรบ!EJ58"")"),0)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IFERROR(__xludf.DUMMYFUNCTION("IMPORTRANGE(""https://docs.google.com/spreadsheets/d/1MeEWN-I1oV_STSDYn1IFDPWt_1FKiwhDph83XaGc0o0/edit?usp=sharing"",""งบพรบ!EF58"")"),0)</f>
        <v>0</v>
      </c>
      <c r="M323" s="90">
        <f ca="1">IFERROR(__xludf.DUMMYFUNCTION("IMPORTRANGE(""https://docs.google.com/spreadsheets/d/1MeEWN-I1oV_STSDYn1IFDPWt_1FKiwhDph83XaGc0o0/edit?usp=sharing"",""งบพรบ!EI58"")"),0)</f>
        <v>0</v>
      </c>
      <c r="N323" s="90">
        <f ca="1">IFERROR(__xludf.DUMMYFUNCTION("IMPORTRANGE(""https://docs.google.com/spreadsheets/d/1MeEWN-I1oV_STSDYn1IFDPWt_1FKiwhDph83XaGc0o0/edit?usp=sharing"",""งบพรบ!EK58"")"),0)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IFERROR(__xludf.DUMMYFUNCTION("IMPORTRANGE(""https://docs.google.com/spreadsheets/d/1QqKyyYR6Q21VydFLVH3TRQUabQu_ym0Zz7PgGX0-kHA/edit?usp=sharing"",""แผน!EF58"")"),0)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IFERROR(__xludf.DUMMYFUNCTION("IMPORTRANGE(""https://docs.google.com/spreadsheets/d/1QqKyyYR6Q21VydFLVH3TRQUabQu_ym0Zz7PgGX0-kHA/edit?usp=sharing"",""แผน!EG58"")"),600)</f>
        <v>600</v>
      </c>
      <c r="J327" s="442">
        <f ca="1">J338+J341+J342+J343</f>
        <v>587</v>
      </c>
      <c r="K327" s="443">
        <f ca="1">IF(I327&gt;0,J327*100/I327,0)</f>
        <v>97.833333333333329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157000</v>
      </c>
      <c r="M328" s="151">
        <f t="shared" ca="1" si="148"/>
        <v>78500</v>
      </c>
      <c r="N328" s="151">
        <f t="shared" ca="1" si="148"/>
        <v>29103</v>
      </c>
      <c r="O328" s="151">
        <f t="shared" ref="O328:O336" ca="1" si="149">IF(L328&gt;0,N328*100/L328,0)</f>
        <v>18.536942675159235</v>
      </c>
      <c r="P328" s="151">
        <f t="shared" ref="P328:P336" ca="1" si="150">IF(M328&gt;0,N328*100/M328,0)</f>
        <v>37.07388535031847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157000</v>
      </c>
      <c r="M330" s="90">
        <f t="shared" ca="1" si="151"/>
        <v>78500</v>
      </c>
      <c r="N330" s="90">
        <f t="shared" ca="1" si="151"/>
        <v>29103</v>
      </c>
      <c r="O330" s="90">
        <f t="shared" ca="1" si="149"/>
        <v>18.536942675159235</v>
      </c>
      <c r="P330" s="90">
        <f t="shared" ca="1" si="150"/>
        <v>37.07388535031847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157000</v>
      </c>
      <c r="M331" s="495">
        <f t="shared" ca="1" si="152"/>
        <v>78500</v>
      </c>
      <c r="N331" s="495">
        <f t="shared" ca="1" si="152"/>
        <v>29103</v>
      </c>
      <c r="O331" s="495">
        <f t="shared" ca="1" si="149"/>
        <v>18.536942675159235</v>
      </c>
      <c r="P331" s="495">
        <f t="shared" ca="1" si="150"/>
        <v>37.07388535031847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IFERROR(__xludf.DUMMYFUNCTION("IMPORTRANGE(""https://docs.google.com/spreadsheets/d/1MeEWN-I1oV_STSDYn1IFDPWt_1FKiwhDph83XaGc0o0/edit?usp=sharing"",""งบพรบ!EM58"")"),157000)</f>
        <v>157000</v>
      </c>
      <c r="M333" s="90">
        <f ca="1">IFERROR(__xludf.DUMMYFUNCTION("IMPORTRANGE(""https://docs.google.com/spreadsheets/d/1MeEWN-I1oV_STSDYn1IFDPWt_1FKiwhDph83XaGc0o0/edit?usp=sharing"",""งบพรบ!ER58"")"),78500)</f>
        <v>78500</v>
      </c>
      <c r="N333" s="90">
        <f ca="1">IFERROR(__xludf.DUMMYFUNCTION("IMPORTRANGE(""https://docs.google.com/spreadsheets/d/1MeEWN-I1oV_STSDYn1IFDPWt_1FKiwhDph83XaGc0o0/edit?usp=sharing"",""งบพรบ!ET58"")"),29103)</f>
        <v>29103</v>
      </c>
      <c r="O333" s="90">
        <f t="shared" ca="1" si="149"/>
        <v>18.536942675159235</v>
      </c>
      <c r="P333" s="90">
        <f t="shared" ca="1" si="150"/>
        <v>37.07388535031847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IFERROR(__xludf.DUMMYFUNCTION("IMPORTRANGE(""https://docs.google.com/spreadsheets/d/1MeEWN-I1oV_STSDYn1IFDPWt_1FKiwhDph83XaGc0o0/edit?usp=sharing"",""งบพรบ!EP58"")"),0)</f>
        <v>0</v>
      </c>
      <c r="M336" s="90">
        <f ca="1">IFERROR(__xludf.DUMMYFUNCTION("IMPORTRANGE(""https://docs.google.com/spreadsheets/d/1MeEWN-I1oV_STSDYn1IFDPWt_1FKiwhDph83XaGc0o0/edit?usp=sharing"",""งบพรบ!ES58"")"),0)</f>
        <v>0</v>
      </c>
      <c r="N336" s="90">
        <f ca="1">IFERROR(__xludf.DUMMYFUNCTION("IMPORTRANGE(""https://docs.google.com/spreadsheets/d/1MeEWN-I1oV_STSDYn1IFDPWt_1FKiwhDph83XaGc0o0/edit?usp=sharing"",""งบพรบ!EU58"")"),0)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IFERROR(__xludf.DUMMYFUNCTION("IMPORTRANGE(""https://docs.google.com/spreadsheets/d/1QqKyyYR6Q21VydFLVH3TRQUabQu_ym0Zz7PgGX0-kHA/edit?usp=sharing"",""แผน!EG58"")"),600)</f>
        <v>600</v>
      </c>
      <c r="J338" s="264">
        <f ca="1">IFERROR(__xludf.DUMMYFUNCTION("IMPORTRANGE(""https://docs.google.com/spreadsheets/d/1kVcqe37tkHyjCSG3S0O1AXqVkqjo8mSIZil3BcpIysc/edit?usp=sharing"",""ศูนย์!D58"")"),531)</f>
        <v>531</v>
      </c>
      <c r="K338" s="495">
        <f ca="1">IF(I338&gt;0,J338*100/I338,0)</f>
        <v>88.5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IFERROR(__xludf.DUMMYFUNCTION("IMPORTRANGE(""https://docs.google.com/spreadsheets/d/1QqKyyYR6Q21VydFLVH3TRQUabQu_ym0Zz7PgGX0-kHA/edit?usp=sharing"",""แผน!EH58"")"),2)</f>
        <v>2</v>
      </c>
      <c r="J340" s="264">
        <f ca="1">IFERROR(__xludf.DUMMYFUNCTION("IMPORTRANGE(""https://docs.google.com/spreadsheets/d/1kVcqe37tkHyjCSG3S0O1AXqVkqjo8mSIZil3BcpIysc/edit?usp=sharing"",""ศูนย์!E58"")"),2)</f>
        <v>2</v>
      </c>
      <c r="K340" s="495">
        <f ca="1">IF(I340&gt;0,J340*100/I340,0)</f>
        <v>100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IFERROR(__xludf.DUMMYFUNCTION("IMPORTRANGE(""https://docs.google.com/spreadsheets/d/1kVcqe37tkHyjCSG3S0O1AXqVkqjo8mSIZil3BcpIysc/edit?usp=sharing"",""ศูนย์!F58"")"),56)</f>
        <v>56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IFERROR(__xludf.DUMMYFUNCTION("IMPORTRANGE(""https://docs.google.com/spreadsheets/d/1kVcqe37tkHyjCSG3S0O1AXqVkqjo8mSIZil3BcpIysc/edit?usp=sharing"",""ศูนย์!G58"")"),0)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IFERROR(__xludf.DUMMYFUNCTION("IMPORTRANGE(""https://docs.google.com/spreadsheets/d/1kVcqe37tkHyjCSG3S0O1AXqVkqjo8mSIZil3BcpIysc/edit?usp=sharing"",""ศูนย์!H58"")"),0)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578780</v>
      </c>
      <c r="M345" s="151">
        <f t="shared" ca="1" si="154"/>
        <v>404090</v>
      </c>
      <c r="N345" s="151">
        <f t="shared" ca="1" si="154"/>
        <v>130874</v>
      </c>
      <c r="O345" s="151">
        <f t="shared" ref="O345:O353" ca="1" si="155">IF(L345&gt;0,N345*100/L345,0)</f>
        <v>22.612046027851687</v>
      </c>
      <c r="P345" s="151">
        <f t="shared" ref="P345:P353" ca="1" si="156">IF(M345&gt;0,N345*100/M345,0)</f>
        <v>32.38733945408201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578780</v>
      </c>
      <c r="M347" s="90">
        <f t="shared" ca="1" si="157"/>
        <v>404090</v>
      </c>
      <c r="N347" s="90">
        <f t="shared" ca="1" si="157"/>
        <v>130874</v>
      </c>
      <c r="O347" s="90">
        <f t="shared" ca="1" si="155"/>
        <v>22.612046027851687</v>
      </c>
      <c r="P347" s="90">
        <f t="shared" ca="1" si="156"/>
        <v>32.38733945408201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562780</v>
      </c>
      <c r="M348" s="495">
        <f t="shared" ca="1" si="158"/>
        <v>388090</v>
      </c>
      <c r="N348" s="495">
        <f t="shared" ca="1" si="158"/>
        <v>116374</v>
      </c>
      <c r="O348" s="495">
        <f t="shared" ca="1" si="155"/>
        <v>20.678417854223675</v>
      </c>
      <c r="P348" s="495">
        <f t="shared" ca="1" si="156"/>
        <v>29.986343373959649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IFERROR(__xludf.DUMMYFUNCTION("IMPORTRANGE(""https://docs.google.com/spreadsheets/d/1MeEWN-I1oV_STSDYn1IFDPWt_1FKiwhDph83XaGc0o0/edit?usp=sharing"",""งบพรบ!EW58"")"),562780)</f>
        <v>562780</v>
      </c>
      <c r="M350" s="90">
        <f ca="1">IFERROR(__xludf.DUMMYFUNCTION("IMPORTRANGE(""https://docs.google.com/spreadsheets/d/1MeEWN-I1oV_STSDYn1IFDPWt_1FKiwhDph83XaGc0o0/edit?usp=sharing"",""งบพรบ!FB58"")"),388090)</f>
        <v>388090</v>
      </c>
      <c r="N350" s="90">
        <f ca="1">IFERROR(__xludf.DUMMYFUNCTION("IMPORTRANGE(""https://docs.google.com/spreadsheets/d/1MeEWN-I1oV_STSDYn1IFDPWt_1FKiwhDph83XaGc0o0/edit?usp=sharing"",""งบพรบ!FD58"")"),116374)</f>
        <v>116374</v>
      </c>
      <c r="O350" s="90">
        <f t="shared" ca="1" si="155"/>
        <v>20.678417854223675</v>
      </c>
      <c r="P350" s="90">
        <f t="shared" ca="1" si="156"/>
        <v>29.986343373959649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16000</v>
      </c>
      <c r="M351" s="495">
        <f t="shared" ca="1" si="159"/>
        <v>16000</v>
      </c>
      <c r="N351" s="495">
        <f t="shared" ca="1" si="159"/>
        <v>14500</v>
      </c>
      <c r="O351" s="495">
        <f t="shared" ca="1" si="155"/>
        <v>90.625</v>
      </c>
      <c r="P351" s="495">
        <f t="shared" ca="1" si="156"/>
        <v>90.625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IFERROR(__xludf.DUMMYFUNCTION("IMPORTRANGE(""https://docs.google.com/spreadsheets/d/1MeEWN-I1oV_STSDYn1IFDPWt_1FKiwhDph83XaGc0o0/edit?usp=sharing"",""งบพรบ!EZ58"")"),16000)</f>
        <v>16000</v>
      </c>
      <c r="M353" s="90">
        <f ca="1">IFERROR(__xludf.DUMMYFUNCTION("IMPORTRANGE(""https://docs.google.com/spreadsheets/d/1MeEWN-I1oV_STSDYn1IFDPWt_1FKiwhDph83XaGc0o0/edit?usp=sharing"",""งบพรบ!FC58"")"),16000)</f>
        <v>16000</v>
      </c>
      <c r="N353" s="90">
        <f ca="1">IFERROR(__xludf.DUMMYFUNCTION("IMPORTRANGE(""https://docs.google.com/spreadsheets/d/1MeEWN-I1oV_STSDYn1IFDPWt_1FKiwhDph83XaGc0o0/edit?usp=sharing"",""งบพรบ!FE58"")"),14500)</f>
        <v>14500</v>
      </c>
      <c r="O353" s="90">
        <f t="shared" ca="1" si="155"/>
        <v>90.625</v>
      </c>
      <c r="P353" s="90">
        <f t="shared" ca="1" si="156"/>
        <v>90.625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IFERROR(__xludf.DUMMYFUNCTION("IMPORTRANGE(""https://docs.google.com/spreadsheets/d/1QqKyyYR6Q21VydFLVH3TRQUabQu_ym0Zz7PgGX0-kHA/edit?usp=sharing"",""แผน!EP58"")"),130)</f>
        <v>130</v>
      </c>
      <c r="J355" s="462">
        <f ca="1">J362</f>
        <v>4</v>
      </c>
      <c r="K355" s="463">
        <f ca="1">IF(I355&gt;0,J355*100/I355,0)</f>
        <v>3.0769230769230771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IFERROR(__xludf.DUMMYFUNCTION("IMPORTRANGE(""https://docs.google.com/spreadsheets/d/1XWAQStnk-4SwqDmLtmXYiTMKHgktTP8We1SCoS47DrQ/edit?usp=sharing"",""จัดที่ดิน!W58"")"),5)</f>
        <v>5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IFERROR(__xludf.DUMMYFUNCTION("IMPORTRANGE(""https://docs.google.com/spreadsheets/d/1QqKyyYR6Q21VydFLVH3TRQUabQu_ym0Zz7PgGX0-kHA/edit?usp=sharing"",""แผน!EO58"")"),2000)</f>
        <v>2000</v>
      </c>
      <c r="J359" s="264">
        <f ca="1">IFERROR(__xludf.DUMMYFUNCTION("IMPORTRANGE(""https://docs.google.com/spreadsheets/d/1XWAQStnk-4SwqDmLtmXYiTMKHgktTP8We1SCoS47DrQ/edit?usp=sharing"",""จัดที่ดิน!X58"")"),59.69)</f>
        <v>59.69</v>
      </c>
      <c r="K359" s="495">
        <f t="shared" ca="1" si="160"/>
        <v>2.9845000000000002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IFERROR(__xludf.DUMMYFUNCTION("IMPORTRANGE(""https://docs.google.com/spreadsheets/d/1QqKyyYR6Q21VydFLVH3TRQUabQu_ym0Zz7PgGX0-kHA/edit?usp=sharing"",""แผน!EP58"")"),130)</f>
        <v>130</v>
      </c>
      <c r="J360" s="264">
        <f ca="1">IFERROR(__xludf.DUMMYFUNCTION("IMPORTRANGE(""https://docs.google.com/spreadsheets/d/1XWAQStnk-4SwqDmLtmXYiTMKHgktTP8We1SCoS47DrQ/edit?usp=sharing"",""จัดที่ดิน!Y58"")"),6)</f>
        <v>6</v>
      </c>
      <c r="K360" s="495">
        <f t="shared" ca="1" si="160"/>
        <v>4.615384615384615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IFERROR(__xludf.DUMMYFUNCTION("IMPORTRANGE(""https://docs.google.com/spreadsheets/d/1XWAQStnk-4SwqDmLtmXYiTMKHgktTP8We1SCoS47DrQ/edit?usp=sharing"",""จัดที่ดิน!Z58"")"),92.7599999999999)</f>
        <v>92.759999999999906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IFERROR(__xludf.DUMMYFUNCTION("IMPORTRANGE(""https://docs.google.com/spreadsheets/d/1QqKyyYR6Q21VydFLVH3TRQUabQu_ym0Zz7PgGX0-kHA/edit?usp=sharing"",""แผน!EP58"")"),130)</f>
        <v>130</v>
      </c>
      <c r="J362" s="264">
        <f ca="1">IFERROR(__xludf.DUMMYFUNCTION("IMPORTRANGE(""https://docs.google.com/spreadsheets/d/1XWAQStnk-4SwqDmLtmXYiTMKHgktTP8We1SCoS47DrQ/edit?usp=sharing"",""จัดที่ดิน!AA58"")"),4)</f>
        <v>4</v>
      </c>
      <c r="K362" s="495">
        <f t="shared" ca="1" si="160"/>
        <v>3.0769230769230771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IFERROR(__xludf.DUMMYFUNCTION("IMPORTRANGE(""https://docs.google.com/spreadsheets/d/1XWAQStnk-4SwqDmLtmXYiTMKHgktTP8We1SCoS47DrQ/edit?usp=sharing"",""จัดที่ดิน!AB58"")"),19.43)</f>
        <v>19.43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230</v>
      </c>
      <c r="J364" s="476">
        <f t="shared" ca="1" si="161"/>
        <v>69</v>
      </c>
      <c r="K364" s="477">
        <f t="shared" ca="1" si="160"/>
        <v>30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IFERROR(__xludf.DUMMYFUNCTION("IMPORTRANGE(""https://docs.google.com/spreadsheets/d/1QqKyyYR6Q21VydFLVH3TRQUabQu_ym0Zz7PgGX0-kHA/edit?usp=sharing"",""แผน!EJ58"")"),30)</f>
        <v>30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IFERROR(__xludf.DUMMYFUNCTION("IMPORTRANGE(""https://docs.google.com/spreadsheets/d/1XWAQStnk-4SwqDmLtmXYiTMKHgktTP8We1SCoS47DrQ/edit?usp=sharing"",""จัดที่ดิน!E58"")"),1)</f>
        <v>1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IFERROR(__xludf.DUMMYFUNCTION("IMPORTRANGE(""https://docs.google.com/spreadsheets/d/1QqKyyYR6Q21VydFLVH3TRQUabQu_ym0Zz7PgGX0-kHA/edit?usp=sharing"",""แผน!EI58"")"),1000)</f>
        <v>1000</v>
      </c>
      <c r="J369" s="264">
        <f ca="1">IFERROR(__xludf.DUMMYFUNCTION("IMPORTRANGE(""https://docs.google.com/spreadsheets/d/1XWAQStnk-4SwqDmLtmXYiTMKHgktTP8We1SCoS47DrQ/edit?usp=sharing"",""จัดที่ดิน!F58"")"),40.26)</f>
        <v>40.26</v>
      </c>
      <c r="K369" s="495">
        <f t="shared" ca="1" si="162"/>
        <v>4.0259999999999998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IFERROR(__xludf.DUMMYFUNCTION("IMPORTRANGE(""https://docs.google.com/spreadsheets/d/1QqKyyYR6Q21VydFLVH3TRQUabQu_ym0Zz7PgGX0-kHA/edit?usp=sharing"",""แผน!EJ58"")"),30)</f>
        <v>30</v>
      </c>
      <c r="J370" s="264">
        <f ca="1">IFERROR(__xludf.DUMMYFUNCTION("IMPORTRANGE(""https://docs.google.com/spreadsheets/d/1XWAQStnk-4SwqDmLtmXYiTMKHgktTP8We1SCoS47DrQ/edit?usp=sharing"",""จัดที่ดิน!G58"")"),2)</f>
        <v>2</v>
      </c>
      <c r="K370" s="495">
        <f t="shared" ca="1" si="162"/>
        <v>6.666666666666667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IFERROR(__xludf.DUMMYFUNCTION("IMPORTRANGE(""https://docs.google.com/spreadsheets/d/1XWAQStnk-4SwqDmLtmXYiTMKHgktTP8We1SCoS47DrQ/edit?usp=sharing"",""จัดที่ดิน!H58"")"),73.33)</f>
        <v>73.33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IFERROR(__xludf.DUMMYFUNCTION("IMPORTRANGE(""https://docs.google.com/spreadsheets/d/1QqKyyYR6Q21VydFLVH3TRQUabQu_ym0Zz7PgGX0-kHA/edit?usp=sharing"",""แผน!EJ58"")"),30)</f>
        <v>30</v>
      </c>
      <c r="J372" s="264">
        <f ca="1">IFERROR(__xludf.DUMMYFUNCTION("IMPORTRANGE(""https://docs.google.com/spreadsheets/d/1XWAQStnk-4SwqDmLtmXYiTMKHgktTP8We1SCoS47DrQ/edit?usp=sharing"",""จัดที่ดิน!I58"")"),0)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IFERROR(__xludf.DUMMYFUNCTION("IMPORTRANGE(""https://docs.google.com/spreadsheets/d/1XWAQStnk-4SwqDmLtmXYiTMKHgktTP8We1SCoS47DrQ/edit?usp=sharing"",""จัดที่ดิน!J58"")"),0)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IFERROR(__xludf.DUMMYFUNCTION("IMPORTRANGE(""https://docs.google.com/spreadsheets/d/1QqKyyYR6Q21VydFLVH3TRQUabQu_ym0Zz7PgGX0-kHA/edit?usp=sharing"",""แผน!EU58"")"),200)</f>
        <v>200</v>
      </c>
      <c r="J374" s="488">
        <f ca="1">J381</f>
        <v>69</v>
      </c>
      <c r="K374" s="489">
        <f t="shared" ca="1" si="162"/>
        <v>34.5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IFERROR(__xludf.DUMMYFUNCTION("IMPORTRANGE(""https://docs.google.com/spreadsheets/d/1XWAQStnk-4SwqDmLtmXYiTMKHgktTP8We1SCoS47DrQ/edit?usp=sharing"",""จัดที่ดิน!AH58"")"),4)</f>
        <v>4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IFERROR(__xludf.DUMMYFUNCTION("IMPORTRANGE(""https://docs.google.com/spreadsheets/d/1QqKyyYR6Q21VydFLVH3TRQUabQu_ym0Zz7PgGX0-kHA/edit?usp=sharing"",""แผน!ET58"")"),1000)</f>
        <v>1000</v>
      </c>
      <c r="J378" s="264">
        <f ca="1">IFERROR(__xludf.DUMMYFUNCTION("IMPORTRANGE(""https://docs.google.com/spreadsheets/d/1XWAQStnk-4SwqDmLtmXYiTMKHgktTP8We1SCoS47DrQ/edit?usp=sharing"",""จัดที่ดิน!AI58"")"),19.43)</f>
        <v>19.43</v>
      </c>
      <c r="K378" s="495">
        <f t="shared" ca="1" si="163"/>
        <v>1.9430000000000001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IFERROR(__xludf.DUMMYFUNCTION("IMPORTRANGE(""https://docs.google.com/spreadsheets/d/1QqKyyYR6Q21VydFLVH3TRQUabQu_ym0Zz7PgGX0-kHA/edit?usp=sharing"",""แผน!EU58"")"),200)</f>
        <v>200</v>
      </c>
      <c r="J379" s="264">
        <f ca="1">IFERROR(__xludf.DUMMYFUNCTION("IMPORTRANGE(""https://docs.google.com/spreadsheets/d/1XWAQStnk-4SwqDmLtmXYiTMKHgktTP8We1SCoS47DrQ/edit?usp=sharing"",""จัดที่ดิน!AJ58"")"),69)</f>
        <v>69</v>
      </c>
      <c r="K379" s="495">
        <f t="shared" ca="1" si="163"/>
        <v>34.5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IFERROR(__xludf.DUMMYFUNCTION("IMPORTRANGE(""https://docs.google.com/spreadsheets/d/1XWAQStnk-4SwqDmLtmXYiTMKHgktTP8We1SCoS47DrQ/edit?usp=sharing"",""จัดที่ดิน!AK58"")"),989.57)</f>
        <v>989.57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IFERROR(__xludf.DUMMYFUNCTION("IMPORTRANGE(""https://docs.google.com/spreadsheets/d/1QqKyyYR6Q21VydFLVH3TRQUabQu_ym0Zz7PgGX0-kHA/edit?usp=sharing"",""แผน!EU58"")"),200)</f>
        <v>200</v>
      </c>
      <c r="J381" s="264">
        <f ca="1">IFERROR(__xludf.DUMMYFUNCTION("IMPORTRANGE(""https://docs.google.com/spreadsheets/d/1XWAQStnk-4SwqDmLtmXYiTMKHgktTP8We1SCoS47DrQ/edit?usp=sharing"",""จัดที่ดิน!AL58"")"),69)</f>
        <v>69</v>
      </c>
      <c r="K381" s="495">
        <f t="shared" ca="1" si="163"/>
        <v>34.5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IFERROR(__xludf.DUMMYFUNCTION("IMPORTRANGE(""https://docs.google.com/spreadsheets/d/1XWAQStnk-4SwqDmLtmXYiTMKHgktTP8We1SCoS47DrQ/edit?usp=sharing"",""จัดที่ดิน!AM58"")"),989.57)</f>
        <v>989.57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IFERROR(__xludf.DUMMYFUNCTION("IMPORTRANGE(""https://docs.google.com/spreadsheets/d/1QqKyyYR6Q21VydFLVH3TRQUabQu_ym0Zz7PgGX0-kHA/edit?usp=sharing"",""แผน!EW58"")"),5)</f>
        <v>5</v>
      </c>
      <c r="J385" s="498">
        <f ca="1">IFERROR(__xludf.DUMMYFUNCTION("IMPORTRANGE(""https://docs.google.com/spreadsheets/d/1XWAQStnk-4SwqDmLtmXYiTMKHgktTP8We1SCoS47DrQ/edit?usp=sharing"",""จัดที่ดิน!AP58"")"),0)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IFERROR(__xludf.DUMMYFUNCTION("IMPORTRANGE(""https://docs.google.com/spreadsheets/d/1MeEWN-I1oV_STSDYn1IFDPWt_1FKiwhDph83XaGc0o0/edit?usp=sharing"",""งบพรบ!FG58"")"),0)</f>
        <v>0</v>
      </c>
      <c r="M394" s="90">
        <f ca="1">IFERROR(__xludf.DUMMYFUNCTION("IMPORTRANGE(""https://docs.google.com/spreadsheets/d/1MeEWN-I1oV_STSDYn1IFDPWt_1FKiwhDph83XaGc0o0/edit?usp=sharing"",""งบพรบ!FL58"")"),0)</f>
        <v>0</v>
      </c>
      <c r="N394" s="90">
        <f ca="1">IFERROR(__xludf.DUMMYFUNCTION("IMPORTRANGE(""https://docs.google.com/spreadsheets/d/1MeEWN-I1oV_STSDYn1IFDPWt_1FKiwhDph83XaGc0o0/edit?usp=sharing"",""งบพรบ!FN58"")"),0)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IFERROR(__xludf.DUMMYFUNCTION("IMPORTRANGE(""https://docs.google.com/spreadsheets/d/1MeEWN-I1oV_STSDYn1IFDPWt_1FKiwhDph83XaGc0o0/edit?usp=sharing"",""งบพรบ!FJ58"")"),0)</f>
        <v>0</v>
      </c>
      <c r="M397" s="90">
        <f ca="1">IFERROR(__xludf.DUMMYFUNCTION("IMPORTRANGE(""https://docs.google.com/spreadsheets/d/1MeEWN-I1oV_STSDYn1IFDPWt_1FKiwhDph83XaGc0o0/edit?usp=sharing"",""งบพรบ!FM58"")"),0)</f>
        <v>0</v>
      </c>
      <c r="N397" s="90">
        <f ca="1">IFERROR(__xludf.DUMMYFUNCTION("IMPORTRANGE(""https://docs.google.com/spreadsheets/d/1MeEWN-I1oV_STSDYn1IFDPWt_1FKiwhDph83XaGc0o0/edit?usp=sharing"",""งบพรบ!FO58"")"),0)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IFERROR(__xludf.DUMMYFUNCTION("IMPORTRANGE(""https://docs.google.com/spreadsheets/d/1MeEWN-I1oV_STSDYn1IFDPWt_1FKiwhDph83XaGc0o0/edit?usp=sharing"",""งบพรบ!FQ58"")"),0)</f>
        <v>0</v>
      </c>
      <c r="M407" s="90">
        <f ca="1">IFERROR(__xludf.DUMMYFUNCTION("IMPORTRANGE(""https://docs.google.com/spreadsheets/d/1MeEWN-I1oV_STSDYn1IFDPWt_1FKiwhDph83XaGc0o0/edit?usp=sharing"",""งบพรบ!FV58"")"),0)</f>
        <v>0</v>
      </c>
      <c r="N407" s="90">
        <f ca="1">IFERROR(__xludf.DUMMYFUNCTION("IMPORTRANGE(""https://docs.google.com/spreadsheets/d/1MeEWN-I1oV_STSDYn1IFDPWt_1FKiwhDph83XaGc0o0/edit?usp=sharing"",""งบพรบ!FX58"")"),0)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IFERROR(__xludf.DUMMYFUNCTION("IMPORTRANGE(""https://docs.google.com/spreadsheets/d/1MeEWN-I1oV_STSDYn1IFDPWt_1FKiwhDph83XaGc0o0/edit?usp=sharing"",""งบพรบ!FT58"")"),0)</f>
        <v>0</v>
      </c>
      <c r="M410" s="90">
        <f ca="1">IFERROR(__xludf.DUMMYFUNCTION("IMPORTRANGE(""https://docs.google.com/spreadsheets/d/1MeEWN-I1oV_STSDYn1IFDPWt_1FKiwhDph83XaGc0o0/edit?usp=sharing"",""งบพรบ!FW58"")"),0)</f>
        <v>0</v>
      </c>
      <c r="N410" s="90">
        <f ca="1">IFERROR(__xludf.DUMMYFUNCTION("IMPORTRANGE(""https://docs.google.com/spreadsheets/d/1MeEWN-I1oV_STSDYn1IFDPWt_1FKiwhDph83XaGc0o0/edit?usp=sharing"",""งบพรบ!FY58"")"),0)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839273</v>
      </c>
      <c r="M414" s="546">
        <f t="shared" si="180"/>
        <v>0</v>
      </c>
      <c r="N414" s="546">
        <f t="shared" si="180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15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66560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66560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66560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IFERROR(__xludf.DUMMYFUNCTION("IMPORTRANGE(""https://docs.google.com/spreadsheets/d/1QqKyyYR6Q21VydFLVH3TRQUabQu_ym0Zz7PgGX0-kHA/edit?usp=sharing"",""แผน!EY58"")"),66560)</f>
        <v>66560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IFERROR(__xludf.DUMMYFUNCTION("IMPORTRANGE(""https://docs.google.com/spreadsheets/d/1QqKyyYR6Q21VydFLVH3TRQUabQu_ym0Zz7PgGX0-kHA/edit?usp=sharing"",""แผน!FB58"")"),0)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15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IFERROR(__xludf.DUMMYFUNCTION("IMPORTRANGE(""https://docs.google.com/spreadsheets/d/1QqKyyYR6Q21VydFLVH3TRQUabQu_ym0Zz7PgGX0-kHA/edit?usp=sharing"",""แผน!FC58"")"),15)</f>
        <v>15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IFERROR(__xludf.DUMMYFUNCTION("IMPORTRANGE(""https://docs.google.com/spreadsheets/d/1QqKyyYR6Q21VydFLVH3TRQUabQu_ym0Zz7PgGX0-kHA/edit?usp=sharing"",""แผน!FD58"")"),0)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IFERROR(__xludf.DUMMYFUNCTION("IMPORTRANGE(""https://docs.google.com/spreadsheets/d/1QqKyyYR6Q21VydFLVH3TRQUabQu_ym0Zz7PgGX0-kHA/edit?usp=sharing"",""แผน!FE58"")"),0)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IFERROR(__xludf.DUMMYFUNCTION("IMPORTRANGE(""https://docs.google.com/spreadsheets/d/1QqKyyYR6Q21VydFLVH3TRQUabQu_ym0Zz7PgGX0-kHA/edit?usp=sharing"",""แผน!FF58"")"),15)</f>
        <v>15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IFERROR(__xludf.DUMMYFUNCTION("IMPORTRANGE(""https://docs.google.com/spreadsheets/d/1QqKyyYR6Q21VydFLVH3TRQUabQu_ym0Zz7PgGX0-kHA/edit?usp=sharing"",""แผน!FG58"")"),1)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IFERROR(__xludf.DUMMYFUNCTION("IMPORTRANGE(""https://docs.google.com/spreadsheets/d/1QqKyyYR6Q21VydFLVH3TRQUabQu_ym0Zz7PgGX0-kHA/edit?usp=sharing"",""แผน!FH58"")"),0)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IFERROR(__xludf.DUMMYFUNCTION("IMPORTRANGE(""https://docs.google.com/spreadsheets/d/1QqKyyYR6Q21VydFLVH3TRQUabQu_ym0Zz7PgGX0-kHA/edit?usp=sharing"",""แผน!FJ58"")"),0)</f>
        <v>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IFERROR(__xludf.DUMMYFUNCTION("IMPORTRANGE(""https://docs.google.com/spreadsheets/d/1QqKyyYR6Q21VydFLVH3TRQUabQu_ym0Zz7PgGX0-kHA/edit?usp=sharing"",""แผน!FM58"")"),0)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IFERROR(__xludf.DUMMYFUNCTION("IMPORTRANGE(""https://docs.google.com/spreadsheets/d/1QqKyyYR6Q21VydFLVH3TRQUabQu_ym0Zz7PgGX0-kHA/edit?usp=sharing"",""แผน!FN58"")"),0)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IFERROR(__xludf.DUMMYFUNCTION("IMPORTRANGE(""https://docs.google.com/spreadsheets/d/1QqKyyYR6Q21VydFLVH3TRQUabQu_ym0Zz7PgGX0-kHA/edit?usp=sharing"",""แผน!FO58"")"),0)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IFERROR(__xludf.DUMMYFUNCTION("IMPORTRANGE(""https://docs.google.com/spreadsheets/d/1QqKyyYR6Q21VydFLVH3TRQUabQu_ym0Zz7PgGX0-kHA/edit?usp=sharing"",""แผน!FO58"")"),0)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IFERROR(__xludf.DUMMYFUNCTION("IMPORTRANGE(""https://docs.google.com/spreadsheets/d/1QqKyyYR6Q21VydFLVH3TRQUabQu_ym0Zz7PgGX0-kHA/edit?usp=sharing"",""แผน!FN58"")"),0)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IFERROR(__xludf.DUMMYFUNCTION("IMPORTRANGE(""https://docs.google.com/spreadsheets/d/1QqKyyYR6Q21VydFLVH3TRQUabQu_ym0Zz7PgGX0-kHA/edit?usp=sharing"",""แผน!FX58"")"),21)</f>
        <v>21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IFERROR(__xludf.DUMMYFUNCTION("IMPORTRANGE(""https://docs.google.com/spreadsheets/d/1QqKyyYR6Q21VydFLVH3TRQUabQu_ym0Zz7PgGX0-kHA/edit?usp=sharing"",""แผน!FW58"")"),200)</f>
        <v>200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174403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174403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174403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IFERROR(__xludf.DUMMYFUNCTION("IMPORTRANGE(""https://docs.google.com/spreadsheets/d/1QqKyyYR6Q21VydFLVH3TRQUabQu_ym0Zz7PgGX0-kHA/edit?usp=sharing"",""แผน!FS58"")"),174403)</f>
        <v>174403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IFERROR(__xludf.DUMMYFUNCTION("IMPORTRANGE(""https://docs.google.com/spreadsheets/d/1QqKyyYR6Q21VydFLVH3TRQUabQu_ym0Zz7PgGX0-kHA/edit?usp=sharing"",""แผน!FV58"")"),0)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IFERROR(__xludf.DUMMYFUNCTION("IMPORTRANGE(""https://docs.google.com/spreadsheets/d/1QqKyyYR6Q21VydFLVH3TRQUabQu_ym0Zz7PgGX0-kHA/edit?usp=sharing"",""แผน!FY58"")"),180)</f>
        <v>180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IFERROR(__xludf.DUMMYFUNCTION("IMPORTRANGE(""https://docs.google.com/spreadsheets/d/1QqKyyYR6Q21VydFLVH3TRQUabQu_ym0Zz7PgGX0-kHA/edit?usp=sharing"",""แผน!FZ58"")"),18)</f>
        <v>18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IFERROR(__xludf.DUMMYFUNCTION("IMPORTRANGE(""https://docs.google.com/spreadsheets/d/1QqKyyYR6Q21VydFLVH3TRQUabQu_ym0Zz7PgGX0-kHA/edit?usp=sharing"",""แผน!GA58"")"),20)</f>
        <v>20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IFERROR(__xludf.DUMMYFUNCTION("IMPORTRANGE(""https://docs.google.com/spreadsheets/d/1QqKyyYR6Q21VydFLVH3TRQUabQu_ym0Zz7PgGX0-kHA/edit?usp=sharing"",""แผน!GB58"")"),2)</f>
        <v>2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IFERROR(__xludf.DUMMYFUNCTION("IMPORTRANGE(""https://docs.google.com/spreadsheets/d/1QqKyyYR6Q21VydFLVH3TRQUabQu_ym0Zz7PgGX0-kHA/edit?usp=sharing"",""แผน!GC58"")"),1)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IFERROR(__xludf.DUMMYFUNCTION("IMPORTRANGE(""https://docs.google.com/spreadsheets/d/1QqKyyYR6Q21VydFLVH3TRQUabQu_ym0Zz7PgGX0-kHA/edit?usp=sharing"",""แผน!FY58"")"),180)</f>
        <v>180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IFERROR(__xludf.DUMMYFUNCTION("IMPORTRANGE(""https://docs.google.com/spreadsheets/d/1QqKyyYR6Q21VydFLVH3TRQUabQu_ym0Zz7PgGX0-kHA/edit?usp=sharing"",""แผน!GA58"")"),20)</f>
        <v>20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 hidden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IFERROR(__xludf.DUMMYFUNCTION("IMPORTRANGE(""https://docs.google.com/spreadsheets/d/1QqKyyYR6Q21VydFLVH3TRQUabQu_ym0Zz7PgGX0-kHA/edit?usp=sharing"",""แผน!GQ58"")"),0)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IFERROR(__xludf.DUMMYFUNCTION("IMPORTRANGE(""https://docs.google.com/spreadsheets/d/1QqKyyYR6Q21VydFLVH3TRQUabQu_ym0Zz7PgGX0-kHA/edit?usp=sharing"",""แผน!GT58"")"),0)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IFERROR(__xludf.DUMMYFUNCTION("IMPORTRANGE(""https://docs.google.com/spreadsheets/d/1QqKyyYR6Q21VydFLVH3TRQUabQu_ym0Zz7PgGX0-kHA/edit?usp=sharing"",""แผน!GU58"")"),0)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IFERROR(__xludf.DUMMYFUNCTION("IMPORTRANGE(""https://docs.google.com/spreadsheets/d/1QqKyyYR6Q21VydFLVH3TRQUabQu_ym0Zz7PgGX0-kHA/edit?usp=sharing"",""แผน!GV58"")"),0)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IFERROR(__xludf.DUMMYFUNCTION("IMPORTRANGE(""https://docs.google.com/spreadsheets/d/1QqKyyYR6Q21VydFLVH3TRQUabQu_ym0Zz7PgGX0-kHA/edit?usp=sharing"",""แผน!GW58"")"),0)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IFERROR(__xludf.DUMMYFUNCTION("IMPORTRANGE(""https://docs.google.com/spreadsheets/d/1QqKyyYR6Q21VydFLVH3TRQUabQu_ym0Zz7PgGX0-kHA/edit?usp=sharing"",""แผน!GX58"")"),0)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IFERROR(__xludf.DUMMYFUNCTION("IMPORTRANGE(""https://docs.google.com/spreadsheets/d/1QqKyyYR6Q21VydFLVH3TRQUabQu_ym0Zz7PgGX0-kHA/edit?usp=sharing"",""แผน!GY58"")"),0)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IFERROR(__xludf.DUMMYFUNCTION("IMPORTRANGE(""https://docs.google.com/spreadsheets/d/1QqKyyYR6Q21VydFLVH3TRQUabQu_ym0Zz7PgGX0-kHA/edit?usp=sharing"",""แผน!GZ58"")"),0)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265400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265400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265400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IFERROR(__xludf.DUMMYFUNCTION("IMPORTRANGE(""https://docs.google.com/spreadsheets/d/1QqKyyYR6Q21VydFLVH3TRQUabQu_ym0Zz7PgGX0-kHA/edit?usp=sharing"",""แผน!HB58"")"),265400)</f>
        <v>265400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IFERROR(__xludf.DUMMYFUNCTION("IMPORTRANGE(""https://docs.google.com/spreadsheets/d/1QqKyyYR6Q21VydFLVH3TRQUabQu_ym0Zz7PgGX0-kHA/edit?usp=sharing"",""แผน!HF58"")"),0)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IFERROR(__xludf.DUMMYFUNCTION("IMPORTRANGE(""https://docs.google.com/spreadsheets/d/1QqKyyYR6Q21VydFLVH3TRQUabQu_ym0Zz7PgGX0-kHA/edit?usp=sharing"",""แผน!HH58"")"),0)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IFERROR(__xludf.DUMMYFUNCTION("IMPORTRANGE(""https://docs.google.com/spreadsheets/d/1QqKyyYR6Q21VydFLVH3TRQUabQu_ym0Zz7PgGX0-kHA/edit?usp=sharing"",""แผน!HG58"")"),0)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IFERROR(__xludf.DUMMYFUNCTION("IMPORTRANGE(""https://docs.google.com/spreadsheets/d/1QqKyyYR6Q21VydFLVH3TRQUabQu_ym0Zz7PgGX0-kHA/edit?usp=sharing"",""แผน!HH58"")"),0)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IFERROR(__xludf.DUMMYFUNCTION("IMPORTRANGE(""https://docs.google.com/spreadsheets/d/1QqKyyYR6Q21VydFLVH3TRQUabQu_ym0Zz7PgGX0-kHA/edit?usp=sharing"",""แผน!HG58"")"),0)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IFERROR(__xludf.DUMMYFUNCTION("IMPORTRANGE(""https://docs.google.com/spreadsheets/d/1QqKyyYR6Q21VydFLVH3TRQUabQu_ym0Zz7PgGX0-kHA/edit?usp=sharing"",""แผน!HH58"")"),0)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IFERROR(__xludf.DUMMYFUNCTION("IMPORTRANGE(""https://docs.google.com/spreadsheets/d/1QqKyyYR6Q21VydFLVH3TRQUabQu_ym0Zz7PgGX0-kHA/edit?usp=sharing"",""แผน!HG58"")"),0)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3209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IFERROR(__xludf.DUMMYFUNCTION("IMPORTRANGE(""https://docs.google.com/spreadsheets/d/1QqKyyYR6Q21VydFLVH3TRQUabQu_ym0Zz7PgGX0-kHA/edit?usp=sharing"",""แผน!HJ58"")"),3209)</f>
        <v>3209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IFERROR(__xludf.DUMMYFUNCTION("IMPORTRANGE(""https://docs.google.com/spreadsheets/d/1QqKyyYR6Q21VydFLVH3TRQUabQu_ym0Zz7PgGX0-kHA/edit?usp=sharing"",""แผน!HI58"")"),178)</f>
        <v>178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IFERROR(__xludf.DUMMYFUNCTION("IMPORTRANGE(""https://docs.google.com/spreadsheets/d/1QqKyyYR6Q21VydFLVH3TRQUabQu_ym0Zz7PgGX0-kHA/edit?usp=sharing"",""แผน!HL58"")"),0)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IFERROR(__xludf.DUMMYFUNCTION("IMPORTRANGE(""https://docs.google.com/spreadsheets/d/1QqKyyYR6Q21VydFLVH3TRQUabQu_ym0Zz7PgGX0-kHA/edit?usp=sharing"",""แผน!HK58"")"),0)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90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332910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332910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332910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IFERROR(__xludf.DUMMYFUNCTION("IMPORTRANGE(""https://docs.google.com/spreadsheets/d/1QqKyyYR6Q21VydFLVH3TRQUabQu_ym0Zz7PgGX0-kHA/edit?usp=sharing"",""แผน!HN58"")"),332910)</f>
        <v>332910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IFERROR(__xludf.DUMMYFUNCTION("IMPORTRANGE(""https://docs.google.com/spreadsheets/d/1QqKyyYR6Q21VydFLVH3TRQUabQu_ym0Zz7PgGX0-kHA/edit?usp=sharing"",""แผน!HQ58"")"),0)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IFERROR(__xludf.DUMMYFUNCTION("IMPORTRANGE(""https://docs.google.com/spreadsheets/d/1QqKyyYR6Q21VydFLVH3TRQUabQu_ym0Zz7PgGX0-kHA/edit?usp=sharing"",""แผน!HR58"")"),0)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IFERROR(__xludf.DUMMYFUNCTION("IMPORTRANGE(""https://docs.google.com/spreadsheets/d/1QqKyyYR6Q21VydFLVH3TRQUabQu_ym0Zz7PgGX0-kHA/edit?usp=sharing"",""แผน!HR58"")"),0)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IFERROR(__xludf.DUMMYFUNCTION("IMPORTRANGE(""https://docs.google.com/spreadsheets/d/1XWAQStnk-4SwqDmLtmXYiTMKHgktTP8We1SCoS47DrQ/edit?usp=sharing"",""จัดที่ดิน!AS58"")"),0)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IFERROR(__xludf.DUMMYFUNCTION("IMPORTRANGE(""https://docs.google.com/spreadsheets/d/1XWAQStnk-4SwqDmLtmXYiTMKHgktTP8We1SCoS47DrQ/edit?usp=sharing"",""จัดที่ดิน!AT58"")"),0)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IFERROR(__xludf.DUMMYFUNCTION("IMPORTRANGE(""https://docs.google.com/spreadsheets/d/1QqKyyYR6Q21VydFLVH3TRQUabQu_ym0Zz7PgGX0-kHA/edit?usp=sharing"",""แผน!HS58"")"),90)</f>
        <v>90</v>
      </c>
      <c r="J647" s="264">
        <f ca="1">IFERROR(__xludf.DUMMYFUNCTION("IMPORTRANGE(""https://docs.google.com/spreadsheets/d/1XWAQStnk-4SwqDmLtmXYiTMKHgktTP8We1SCoS47DrQ/edit?usp=sharing"",""จัดที่ดิน!AU58"")"),0)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IFERROR(__xludf.DUMMYFUNCTION("IMPORTRANGE(""https://docs.google.com/spreadsheets/d/1XWAQStnk-4SwqDmLtmXYiTMKHgktTP8We1SCoS47DrQ/edit?usp=sharing"",""จัดที่ดิน!AV58"")"),0)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IFERROR(__xludf.DUMMYFUNCTION("IMPORTRANGE(""https://docs.google.com/spreadsheets/d/1QqKyyYR6Q21VydFLVH3TRQUabQu_ym0Zz7PgGX0-kHA/edit?usp=sharing"",""แผน!HS58"")"),90)</f>
        <v>90</v>
      </c>
      <c r="J649" s="264">
        <f ca="1">IFERROR(__xludf.DUMMYFUNCTION("IMPORTRANGE(""https://docs.google.com/spreadsheets/d/1XWAQStnk-4SwqDmLtmXYiTMKHgktTP8We1SCoS47DrQ/edit?usp=sharing"",""จัดที่ดิน!AW58"")"),0)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IFERROR(__xludf.DUMMYFUNCTION("IMPORTRANGE(""https://docs.google.com/spreadsheets/d/1XWAQStnk-4SwqDmLtmXYiTMKHgktTP8We1SCoS47DrQ/edit?usp=sharing"",""จัดที่ดิน!AX58"")"),0)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IFERROR(__xludf.DUMMYFUNCTION("IMPORTRANGE(""https://docs.google.com/spreadsheets/d/1QqKyyYR6Q21VydFLVH3TRQUabQu_ym0Zz7PgGX0-kHA/edit?usp=sharing"",""แผน!HS58"")"),90)</f>
        <v>90</v>
      </c>
      <c r="J651" s="264">
        <f ca="1">IFERROR(__xludf.DUMMYFUNCTION("IMPORTRANGE(""https://docs.google.com/spreadsheets/d/1XWAQStnk-4SwqDmLtmXYiTMKHgktTP8We1SCoS47DrQ/edit?usp=sharing"",""จัดที่ดิน!AY58"")"),0)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IFERROR(__xludf.DUMMYFUNCTION("IMPORTRANGE(""https://docs.google.com/spreadsheets/d/1XWAQStnk-4SwqDmLtmXYiTMKHgktTP8We1SCoS47DrQ/edit?usp=sharing"",""จัดที่ดิน!AZ58"")"),0)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 hidden="1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 hidden="1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 hidden="1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 hidden="1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IFERROR(__xludf.DUMMYFUNCTION("IMPORTRANGE(""https://docs.google.com/spreadsheets/d/1QqKyyYR6Q21VydFLVH3TRQUabQu_ym0Zz7PgGX0-kHA/edit?usp=sharing"",""แผน!HV58"")"),0)</f>
        <v>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 hidden="1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 hidden="1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 hidden="1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 hidden="1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 hidden="1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 hidden="1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 hidden="1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IFERROR(__xludf.DUMMYFUNCTION("IMPORTRANGE(""https://docs.google.com/spreadsheets/d/1QqKyyYR6Q21VydFLVH3TRQUabQu_ym0Zz7PgGX0-kHA/edit?usp=sharing"",""แผน!IA58"")"),0)</f>
        <v>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 hidden="1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IFERROR(__xludf.DUMMYFUNCTION("IMPORTRANGE(""https://docs.google.com/spreadsheets/d/1QqKyyYR6Q21VydFLVH3TRQUabQu_ym0Zz7PgGX0-kHA/edit?usp=sharing"",""แผน!HZ58"")"),0)</f>
        <v>0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 hidden="1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IFERROR(__xludf.DUMMYFUNCTION("IMPORTRANGE(""https://docs.google.com/spreadsheets/d/1QqKyyYR6Q21VydFLVH3TRQUabQu_ym0Zz7PgGX0-kHA/edit?usp=sharing"",""แผน!HZ58"")"),0)</f>
        <v>0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 hidden="1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 hidden="1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 hidden="1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 hidden="1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 hidden="1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 hidden="1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 hidden="1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IFERROR(__xludf.DUMMYFUNCTION("IMPORTRANGE(""https://docs.google.com/spreadsheets/d/1QqKyyYR6Q21VydFLVH3TRQUabQu_ym0Zz7PgGX0-kHA/edit?usp=sharing"",""แผน!IB58"")"),0)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 hidden="1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 hidden="1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 hidden="1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 hidden="1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 hidden="1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 hidden="1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 hidden="1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 hidden="1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IFERROR(__xludf.DUMMYFUNCTION("IMPORTRANGE(""https://docs.google.com/spreadsheets/d/1QqKyyYR6Q21VydFLVH3TRQUabQu_ym0Zz7PgGX0-kHA/edit?usp=sharing"",""แผน!HW58"")"),0)</f>
        <v>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 hidden="1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 hidden="1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 hidden="1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 hidden="1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 hidden="1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 hidden="1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 hidden="1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IFERROR(__xludf.DUMMYFUNCTION("IMPORTRANGE(""https://docs.google.com/spreadsheets/d/1QqKyyYR6Q21VydFLVH3TRQUabQu_ym0Zz7PgGX0-kHA/edit?usp=sharing"",""แผน!IC58"")"),0)</f>
        <v>0</v>
      </c>
      <c r="J699" s="264">
        <f ca="1">IFERROR(__xludf.DUMMYFUNCTION("IMPORTRANGE(""https://docs.google.com/spreadsheets/d/1XWAQStnk-4SwqDmLtmXYiTMKHgktTP8We1SCoS47DrQ/edit?usp=sharing"",""จัดที่ดิน!BB58"")"),0)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 hidden="1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IFERROR(__xludf.DUMMYFUNCTION("IMPORTRANGE(""https://docs.google.com/spreadsheets/d/1QqKyyYR6Q21VydFLVH3TRQUabQu_ym0Zz7PgGX0-kHA/edit?usp=sharing"",""แผน!ID58"")"),0)</f>
        <v>0</v>
      </c>
      <c r="J700" s="264">
        <f ca="1">IFERROR(__xludf.DUMMYFUNCTION("IMPORTRANGE(""https://docs.google.com/spreadsheets/d/1XWAQStnk-4SwqDmLtmXYiTMKHgktTP8We1SCoS47DrQ/edit?usp=sharing"",""จัดที่ดิน!BD58"")"),0)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 hidden="1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IFERROR(__xludf.DUMMYFUNCTION("IMPORTRANGE(""https://docs.google.com/spreadsheets/d/1QqKyyYR6Q21VydFLVH3TRQUabQu_ym0Zz7PgGX0-kHA/edit?usp=sharing"",""แผน!IE58"")"),0)</f>
        <v>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 hidden="1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 hidden="1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 hidden="1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IFERROR(__xludf.DUMMYFUNCTION("IMPORTRANGE(""https://docs.google.com/spreadsheets/d/1QqKyyYR6Q21VydFLVH3TRQUabQu_ym0Zz7PgGX0-kHA/edit?usp=sharing"",""แผน!IF58"")"),0)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 hidden="1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 hidden="1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 hidden="1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IFERROR(__xludf.DUMMYFUNCTION("IMPORTRANGE(""https://docs.google.com/spreadsheets/d/1QqKyyYR6Q21VydFLVH3TRQUabQu_ym0Zz7PgGX0-kHA/edit?usp=sharing"",""แผน!IG58"")"),0)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 hidden="1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IFERROR(__xludf.DUMMYFUNCTION("IMPORTRANGE(""https://docs.google.com/spreadsheets/d/1QqKyyYR6Q21VydFLVH3TRQUabQu_ym0Zz7PgGX0-kHA/edit?usp=sharing"",""แผน!IH58"")"),0)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 hidden="1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 hidden="1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 hidden="1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 hidden="1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 hidden="1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 hidden="1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 hidden="1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 hidden="1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 hidden="1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 hidden="1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IFERROR(__xludf.DUMMYFUNCTION("IMPORTRANGE(""https://docs.google.com/spreadsheets/d/1XWAQStnk-4SwqDmLtmXYiTMKHgktTP8We1SCoS47DrQ/edit?usp=sharing"",""จัดที่ดิน!BF58"")"),0)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 hidden="1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IFERROR(__xludf.DUMMYFUNCTION("IMPORTRANGE(""https://docs.google.com/spreadsheets/d/1XWAQStnk-4SwqDmLtmXYiTMKHgktTP8We1SCoS47DrQ/edit?usp=sharing"",""จัดที่ดิน!BG58"")"),0)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 hidden="1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IFERROR(__xludf.DUMMYFUNCTION("IMPORTRANGE(""https://docs.google.com/spreadsheets/d/1QqKyyYR6Q21VydFLVH3TRQUabQu_ym0Zz7PgGX0-kHA/edit?usp=sharing"",""แผน!II58"")"),0)</f>
        <v>0</v>
      </c>
      <c r="J720" s="264">
        <f ca="1">IFERROR(__xludf.DUMMYFUNCTION("IMPORTRANGE(""https://docs.google.com/spreadsheets/d/1XWAQStnk-4SwqDmLtmXYiTMKHgktTP8We1SCoS47DrQ/edit?usp=sharing"",""จัดที่ดิน!BH58"")"),0)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 hidden="1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IFERROR(__xludf.DUMMYFUNCTION("IMPORTRANGE(""https://docs.google.com/spreadsheets/d/1QqKyyYR6Q21VydFLVH3TRQUabQu_ym0Zz7PgGX0-kHA/edit?usp=sharing"",""แผน!IJ58"")"),0)</f>
        <v>0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 hidden="1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IFERROR(__xludf.DUMMYFUNCTION("IMPORTRANGE(""https://docs.google.com/spreadsheets/d/1QqKyyYR6Q21VydFLVH3TRQUabQu_ym0Zz7PgGX0-kHA/edit?usp=sharing"",""แผน!IK58"")"),0)</f>
        <v>0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 hidden="1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IFERROR(__xludf.DUMMYFUNCTION("IMPORTRANGE(""https://docs.google.com/spreadsheets/d/1QqKyyYR6Q21VydFLVH3TRQUabQu_ym0Zz7PgGX0-kHA/edit?usp=sharing"",""แผน!IL58"")"),0)</f>
        <v>0</v>
      </c>
      <c r="J723" s="264">
        <f ca="1">IFERROR(__xludf.DUMMYFUNCTION("IMPORTRANGE(""https://docs.google.com/spreadsheets/d/1XWAQStnk-4SwqDmLtmXYiTMKHgktTP8We1SCoS47DrQ/edit?usp=sharing"",""จัดที่ดิน!BM58"")"),0)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 hidden="1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IFERROR(__xludf.DUMMYFUNCTION("IMPORTRANGE(""https://docs.google.com/spreadsheets/d/1XWAQStnk-4SwqDmLtmXYiTMKHgktTP8We1SCoS47DrQ/edit?usp=sharing"",""จัดที่ดิน!BN58"")"),0)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 hidden="1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IFERROR(__xludf.DUMMYFUNCTION("IMPORTRANGE(""https://docs.google.com/spreadsheets/d/1QqKyyYR6Q21VydFLVH3TRQUabQu_ym0Zz7PgGX0-kHA/edit?usp=sharing"",""แผน!IM58"")"),0)</f>
        <v>0</v>
      </c>
      <c r="J725" s="264">
        <f ca="1">IFERROR(__xludf.DUMMYFUNCTION("IMPORTRANGE(""https://docs.google.com/spreadsheets/d/1XWAQStnk-4SwqDmLtmXYiTMKHgktTP8We1SCoS47DrQ/edit?usp=sharing"",""จัดที่ดิน!BO58"")"),0)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 hidden="1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IFERROR(__xludf.DUMMYFUNCTION("IMPORTRANGE(""https://docs.google.com/spreadsheets/d/1QqKyyYR6Q21VydFLVH3TRQUabQu_ym0Zz7PgGX0-kHA/edit?usp=sharing"",""แผน!IN58"")"),0)</f>
        <v>0</v>
      </c>
      <c r="J726" s="264">
        <f ca="1">IFERROR(__xludf.DUMMYFUNCTION("IMPORTRANGE(""https://docs.google.com/spreadsheets/d/1XWAQStnk-4SwqDmLtmXYiTMKHgktTP8We1SCoS47DrQ/edit?usp=sharing"",""จัดที่ดิน!BR58"")"),0)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 hidden="1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IFERROR(__xludf.DUMMYFUNCTION("IMPORTRANGE(""https://docs.google.com/spreadsheets/d/1XWAQStnk-4SwqDmLtmXYiTMKHgktTP8We1SCoS47DrQ/edit?usp=sharing"",""จัดที่ดิน!BS58"")"),0)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 hidden="1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IFERROR(__xludf.DUMMYFUNCTION("IMPORTRANGE(""https://docs.google.com/spreadsheets/d/1QqKyyYR6Q21VydFLVH3TRQUabQu_ym0Zz7PgGX0-kHA/edit?usp=sharing"",""แผน!IO58"")"),0)</f>
        <v>0</v>
      </c>
      <c r="J728" s="264">
        <f ca="1">IFERROR(__xludf.DUMMYFUNCTION("IMPORTRANGE(""https://docs.google.com/spreadsheets/d/1XWAQStnk-4SwqDmLtmXYiTMKHgktTP8We1SCoS47DrQ/edit?usp=sharing"",""จัดที่ดิน!BT58"")"),0)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 hidden="1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IFERROR(__xludf.DUMMYFUNCTION("IMPORTRANGE(""https://docs.google.com/spreadsheets/d/1QqKyyYR6Q21VydFLVH3TRQUabQu_ym0Zz7PgGX0-kHA/edit?usp=sharing"",""แผน!IP58"")"),0)</f>
        <v>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 hidden="1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 hidden="1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 hidden="1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 hidden="1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 hidden="1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 hidden="1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IFERROR(__xludf.DUMMYFUNCTION("IMPORTRANGE(""https://docs.google.com/spreadsheets/d/1QqKyyYR6Q21VydFLVH3TRQUabQu_ym0Zz7PgGX0-kHA/edit?usp=sharing"",""แผน!JJ58"")"),0)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IFERROR(__xludf.DUMMYFUNCTION("IMPORTRANGE(""https://docs.google.com/spreadsheets/d/1QqKyyYR6Q21VydFLVH3TRQUabQu_ym0Zz7PgGX0-kHA/edit?usp=sharing"",""แผน!JN58"")"),0)</f>
        <v>0</v>
      </c>
      <c r="J800" s="180">
        <f ca="1">IFERROR(__xludf.DUMMYFUNCTION("IMPORTRANGE(""https://docs.google.com/spreadsheets/d/1MaWodYyGHDf7siQLGxnXhG4mBNTNIuy296niS2xXulU/edit?usp=sharing"",""RTK!H58"")"),0)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IFERROR(__xludf.DUMMYFUNCTION("IMPORTRANGE(""https://docs.google.com/spreadsheets/d/1MaWodYyGHDf7siQLGxnXhG4mBNTNIuy296niS2xXulU/edit?usp=sharing"",""RTK!I58"")"),0)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IFERROR(__xludf.DUMMYFUNCTION("IMPORTRANGE(""https://docs.google.com/spreadsheets/d/19vJNZY_5yjcGF2XGBMNZRCAIB0Kwfpjp8YEOfu-bneM/edit?usp=sharing"",""งานกองทุน!D58"")"),2329000)</f>
        <v>2329000</v>
      </c>
      <c r="J821" s="264">
        <f ca="1">IFERROR(__xludf.DUMMYFUNCTION("IMPORTRANGE(""https://docs.google.com/spreadsheets/d/19vJNZY_5yjcGF2XGBMNZRCAIB0Kwfpjp8YEOfu-bneM/edit?usp=sharing"",""งานกองทุน!F58"")"),0)</f>
        <v>0</v>
      </c>
      <c r="K821" s="495">
        <f t="shared" ref="K821:K828" ca="1" si="334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IFERROR(__xludf.DUMMYFUNCTION("IMPORTRANGE(""https://docs.google.com/spreadsheets/d/19vJNZY_5yjcGF2XGBMNZRCAIB0Kwfpjp8YEOfu-bneM/edit?usp=sharing"",""งานกองทุน!C58"")"),110)</f>
        <v>110</v>
      </c>
      <c r="J822" s="264">
        <f ca="1">IFERROR(__xludf.DUMMYFUNCTION("IMPORTRANGE(""https://docs.google.com/spreadsheets/d/19vJNZY_5yjcGF2XGBMNZRCAIB0Kwfpjp8YEOfu-bneM/edit?usp=sharing"",""งานกองทุน!E58"")"),0)</f>
        <v>0</v>
      </c>
      <c r="K822" s="495">
        <f t="shared" ca="1" si="334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264">
        <f ca="1">IFERROR(__xludf.DUMMYFUNCTION("IMPORTRANGE(""https://docs.google.com/spreadsheets/d/19vJNZY_5yjcGF2XGBMNZRCAIB0Kwfpjp8YEOfu-bneM/edit?usp=sharing"",""งานกองทุน!K58"")"),85917.83)</f>
        <v>85917.83</v>
      </c>
      <c r="K823" s="495">
        <f t="shared" ca="1" si="334"/>
        <v>8.8949648527168019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IFERROR(__xludf.DUMMYFUNCTION("IMPORTRANGE(""https://docs.google.com/spreadsheets/d/19vJNZY_5yjcGF2XGBMNZRCAIB0Kwfpjp8YEOfu-bneM/edit?usp=sharing"",""งานกองทุน!H58"")"),37)</f>
        <v>37</v>
      </c>
      <c r="J824" s="264">
        <f ca="1">IFERROR(__xludf.DUMMYFUNCTION("IMPORTRANGE(""https://docs.google.com/spreadsheets/d/19vJNZY_5yjcGF2XGBMNZRCAIB0Kwfpjp8YEOfu-bneM/edit?usp=sharing"",""งานกองทุน!J58"")"),10)</f>
        <v>10</v>
      </c>
      <c r="K824" s="495">
        <f t="shared" ca="1" si="334"/>
        <v>27.027027027027028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IFERROR(__xludf.DUMMYFUNCTION("IMPORTRANGE(""https://docs.google.com/spreadsheets/d/19vJNZY_5yjcGF2XGBMNZRCAIB0Kwfpjp8YEOfu-bneM/edit?usp=sharing"",""งานกองทุน!N58"")"),0)</f>
        <v>0</v>
      </c>
      <c r="J825" s="264">
        <f ca="1">IFERROR(__xludf.DUMMYFUNCTION("IMPORTRANGE(""https://docs.google.com/spreadsheets/d/19vJNZY_5yjcGF2XGBMNZRCAIB0Kwfpjp8YEOfu-bneM/edit?usp=sharing"",""งานกองทุน!P58"")"),0)</f>
        <v>0</v>
      </c>
      <c r="K825" s="495">
        <f t="shared" ca="1" si="334"/>
        <v>0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IFERROR(__xludf.DUMMYFUNCTION("IMPORTRANGE(""https://docs.google.com/spreadsheets/d/19vJNZY_5yjcGF2XGBMNZRCAIB0Kwfpjp8YEOfu-bneM/edit?usp=sharing"",""งานกองทุน!M58"")"),0)</f>
        <v>0</v>
      </c>
      <c r="J826" s="264">
        <f ca="1">IFERROR(__xludf.DUMMYFUNCTION("IMPORTRANGE(""https://docs.google.com/spreadsheets/d/19vJNZY_5yjcGF2XGBMNZRCAIB0Kwfpjp8YEOfu-bneM/edit?usp=sharing"",""งานกองทุน!O58"")"),0)</f>
        <v>0</v>
      </c>
      <c r="K826" s="495">
        <f t="shared" ca="1" si="334"/>
        <v>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IFERROR(__xludf.DUMMYFUNCTION("IMPORTRANGE(""https://docs.google.com/spreadsheets/d/19vJNZY_5yjcGF2XGBMNZRCAIB0Kwfpjp8YEOfu-bneM/edit?usp=sharing"",""งานกองทุน!S58"")"),3330000)</f>
        <v>3330000</v>
      </c>
      <c r="J827" s="264">
        <f ca="1">IFERROR(__xludf.DUMMYFUNCTION("IMPORTRANGE(""https://docs.google.com/spreadsheets/d/19vJNZY_5yjcGF2XGBMNZRCAIB0Kwfpjp8YEOfu-bneM/edit?usp=sharing"",""งานกองทุน!U58"")"),0)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IFERROR(__xludf.DUMMYFUNCTION("IMPORTRANGE(""https://docs.google.com/spreadsheets/d/19vJNZY_5yjcGF2XGBMNZRCAIB0Kwfpjp8YEOfu-bneM/edit?usp=sharing"",""งานกองทุน!R58"")"),133)</f>
        <v>133</v>
      </c>
      <c r="J828" s="498">
        <f ca="1">IFERROR(__xludf.DUMMYFUNCTION("IMPORTRANGE(""https://docs.google.com/spreadsheets/d/19vJNZY_5yjcGF2XGBMNZRCAIB0Kwfpjp8YEOfu-bneM/edit?usp=sharing"",""งานกองทุน!T58"")"),43)</f>
        <v>43</v>
      </c>
      <c r="K828" s="499">
        <f t="shared" ca="1" si="334"/>
        <v>32.330827067669176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6766-0708-471E-A8B6-0D67A1866490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340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3238710</v>
      </c>
      <c r="M8" s="21">
        <f t="shared" ca="1" si="0"/>
        <v>1460030</v>
      </c>
      <c r="N8" s="21">
        <f t="shared" ca="1" si="0"/>
        <v>591034.22</v>
      </c>
      <c r="O8" s="21">
        <f t="shared" ref="O8:O16" ca="1" si="1">IF(L8&gt;0,N8*100/L8,0)</f>
        <v>18.249062744117257</v>
      </c>
      <c r="P8" s="21">
        <f t="shared" ref="P8:P16" ca="1" si="2">IF(M8&gt;0,N8*100/M8,0)</f>
        <v>40.480964089778979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3238710</v>
      </c>
      <c r="M10" s="29">
        <f t="shared" ca="1" si="3"/>
        <v>1460030</v>
      </c>
      <c r="N10" s="29">
        <f t="shared" ca="1" si="3"/>
        <v>591034.22</v>
      </c>
      <c r="O10" s="29">
        <f t="shared" ca="1" si="1"/>
        <v>18.249062744117257</v>
      </c>
      <c r="P10" s="29">
        <f t="shared" ca="1" si="2"/>
        <v>40.480964089778979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3065310</v>
      </c>
      <c r="M11" s="495">
        <f t="shared" ca="1" si="4"/>
        <v>1286630</v>
      </c>
      <c r="N11" s="495">
        <f t="shared" ca="1" si="4"/>
        <v>417634.22000000003</v>
      </c>
      <c r="O11" s="495">
        <f t="shared" ca="1" si="1"/>
        <v>13.624534549523538</v>
      </c>
      <c r="P11" s="495">
        <f t="shared" ca="1" si="2"/>
        <v>32.459543147602652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3065310</v>
      </c>
      <c r="M13" s="90">
        <f t="shared" ca="1" si="5"/>
        <v>1286630</v>
      </c>
      <c r="N13" s="90">
        <f t="shared" ca="1" si="5"/>
        <v>417634.22000000003</v>
      </c>
      <c r="O13" s="90">
        <f t="shared" ca="1" si="1"/>
        <v>13.624534549523538</v>
      </c>
      <c r="P13" s="90">
        <f t="shared" ca="1" si="2"/>
        <v>32.459543147602652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173400</v>
      </c>
      <c r="M14" s="495">
        <f t="shared" ca="1" si="6"/>
        <v>173400</v>
      </c>
      <c r="N14" s="495">
        <f t="shared" ca="1" si="6"/>
        <v>173400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173400</v>
      </c>
      <c r="M16" s="51">
        <f t="shared" ca="1" si="7"/>
        <v>173400</v>
      </c>
      <c r="N16" s="51">
        <f t="shared" ca="1" si="7"/>
        <v>173400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2769500</v>
      </c>
      <c r="M18" s="21">
        <f t="shared" ca="1" si="8"/>
        <v>1460030</v>
      </c>
      <c r="N18" s="21">
        <f t="shared" ca="1" si="8"/>
        <v>591034.22</v>
      </c>
      <c r="O18" s="21">
        <f t="shared" ref="O18:O26" ca="1" si="9">IF(L18&gt;0,N18*100/L18,0)</f>
        <v>21.340827586206895</v>
      </c>
      <c r="P18" s="21">
        <f t="shared" ref="P18:P26" ca="1" si="10">IF(M18&gt;0,N18*100/M18,0)</f>
        <v>40.480964089778979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2769500</v>
      </c>
      <c r="M20" s="29">
        <f t="shared" ca="1" si="11"/>
        <v>1460030</v>
      </c>
      <c r="N20" s="29">
        <f t="shared" ca="1" si="11"/>
        <v>591034.22</v>
      </c>
      <c r="O20" s="29">
        <f t="shared" ca="1" si="9"/>
        <v>21.340827586206895</v>
      </c>
      <c r="P20" s="29">
        <f t="shared" ca="1" si="10"/>
        <v>40.480964089778979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2596100</v>
      </c>
      <c r="M21" s="495">
        <f t="shared" ca="1" si="12"/>
        <v>1286630</v>
      </c>
      <c r="N21" s="495">
        <f t="shared" ca="1" si="12"/>
        <v>417634.22000000003</v>
      </c>
      <c r="O21" s="495">
        <f t="shared" ca="1" si="9"/>
        <v>16.08698509302415</v>
      </c>
      <c r="P21" s="495">
        <f t="shared" ca="1" si="10"/>
        <v>32.459543147602652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2596100</v>
      </c>
      <c r="M23" s="90">
        <f t="shared" ca="1" si="13"/>
        <v>1286630</v>
      </c>
      <c r="N23" s="90">
        <f t="shared" ca="1" si="13"/>
        <v>417634.22000000003</v>
      </c>
      <c r="O23" s="90">
        <f t="shared" ca="1" si="9"/>
        <v>16.08698509302415</v>
      </c>
      <c r="P23" s="90">
        <f t="shared" ca="1" si="10"/>
        <v>32.459543147602652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173400</v>
      </c>
      <c r="M24" s="495">
        <f t="shared" ca="1" si="14"/>
        <v>173400</v>
      </c>
      <c r="N24" s="495">
        <f t="shared" ca="1" si="14"/>
        <v>173400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173400</v>
      </c>
      <c r="M26" s="51">
        <f t="shared" ca="1" si="15"/>
        <v>173400</v>
      </c>
      <c r="N26" s="51">
        <f t="shared" ca="1" si="15"/>
        <v>173400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469210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469210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469210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469210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2769500</v>
      </c>
      <c r="M37" s="57">
        <f t="shared" ca="1" si="24"/>
        <v>1460030</v>
      </c>
      <c r="N37" s="57">
        <f t="shared" ca="1" si="24"/>
        <v>591034.22</v>
      </c>
      <c r="O37" s="57">
        <f t="shared" ca="1" si="17"/>
        <v>21.340827586206895</v>
      </c>
      <c r="P37" s="57">
        <f t="shared" ca="1" si="18"/>
        <v>40.480964089778979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314150</v>
      </c>
      <c r="M41" s="82">
        <f t="shared" ca="1" si="25"/>
        <v>159100</v>
      </c>
      <c r="N41" s="82">
        <f t="shared" ca="1" si="25"/>
        <v>50700</v>
      </c>
      <c r="O41" s="82">
        <f t="shared" ref="O41:O49" ca="1" si="26">IF(L41&gt;0,N41*100/L41,0)</f>
        <v>16.138787203565176</v>
      </c>
      <c r="P41" s="82">
        <f t="shared" ref="P41:P49" ca="1" si="27">IF(M41&gt;0,N41*100/M41,0)</f>
        <v>31.866750471401634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314150</v>
      </c>
      <c r="M43" s="89">
        <f t="shared" ca="1" si="28"/>
        <v>159100</v>
      </c>
      <c r="N43" s="89">
        <f t="shared" ca="1" si="28"/>
        <v>50700</v>
      </c>
      <c r="O43" s="89">
        <f t="shared" ca="1" si="26"/>
        <v>16.138787203565176</v>
      </c>
      <c r="P43" s="89">
        <f t="shared" ca="1" si="27"/>
        <v>31.866750471401634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314150</v>
      </c>
      <c r="M44" s="495">
        <f t="shared" ca="1" si="29"/>
        <v>159100</v>
      </c>
      <c r="N44" s="495">
        <f t="shared" ca="1" si="29"/>
        <v>50700</v>
      </c>
      <c r="O44" s="495">
        <f t="shared" ca="1" si="26"/>
        <v>16.138787203565176</v>
      </c>
      <c r="P44" s="495">
        <f t="shared" ca="1" si="27"/>
        <v>31.866750471401634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IFERROR(__xludf.DUMMYFUNCTION("IMPORTRANGE(""https://docs.google.com/spreadsheets/d/1MeEWN-I1oV_STSDYn1IFDPWt_1FKiwhDph83XaGc0o0/edit?usp=sharing"",""งบพรบ!M59"")"),314150)</f>
        <v>314150</v>
      </c>
      <c r="M46" s="90">
        <f ca="1">IFERROR(__xludf.DUMMYFUNCTION("IMPORTRANGE(""https://docs.google.com/spreadsheets/d/1MeEWN-I1oV_STSDYn1IFDPWt_1FKiwhDph83XaGc0o0/edit?usp=sharing"",""งบพรบ!R59"")"),159100)</f>
        <v>159100</v>
      </c>
      <c r="N46" s="90">
        <f ca="1">IFERROR(__xludf.DUMMYFUNCTION("IMPORTRANGE(""https://docs.google.com/spreadsheets/d/1MeEWN-I1oV_STSDYn1IFDPWt_1FKiwhDph83XaGc0o0/edit?usp=sharing"",""งบพรบ!T59"")"),50700)</f>
        <v>50700</v>
      </c>
      <c r="O46" s="90">
        <f t="shared" ca="1" si="26"/>
        <v>16.138787203565176</v>
      </c>
      <c r="P46" s="90">
        <f t="shared" ca="1" si="27"/>
        <v>31.866750471401634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IFERROR(__xludf.DUMMYFUNCTION("IMPORTRANGE(""https://docs.google.com/spreadsheets/d/1MeEWN-I1oV_STSDYn1IFDPWt_1FKiwhDph83XaGc0o0/edit?usp=sharing"",""งบพรบ!P59"")"),0)</f>
        <v>0</v>
      </c>
      <c r="M49" s="51">
        <f ca="1">IFERROR(__xludf.DUMMYFUNCTION("IMPORTRANGE(""https://docs.google.com/spreadsheets/d/1MeEWN-I1oV_STSDYn1IFDPWt_1FKiwhDph83XaGc0o0/edit?usp=sharing"",""งบพรบ!S59"")"),0)</f>
        <v>0</v>
      </c>
      <c r="N49" s="51">
        <f ca="1">IFERROR(__xludf.DUMMYFUNCTION("IMPORTRANGE(""https://docs.google.com/spreadsheets/d/1MeEWN-I1oV_STSDYn1IFDPWt_1FKiwhDph83XaGc0o0/edit?usp=sharing"",""งบพรบ!U59"")"),0)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647000</v>
      </c>
      <c r="M53" s="112">
        <f t="shared" ca="1" si="31"/>
        <v>323500</v>
      </c>
      <c r="N53" s="112">
        <f t="shared" ca="1" si="31"/>
        <v>195725.54</v>
      </c>
      <c r="O53" s="112">
        <f t="shared" ref="O53:O61" ca="1" si="32">IF(L53&gt;0,N53*100/L53,0)</f>
        <v>30.251242658423493</v>
      </c>
      <c r="P53" s="112">
        <f t="shared" ref="P53:P61" ca="1" si="33">IF(M53&gt;0,N53*100/M53,0)</f>
        <v>60.502485316846986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647000</v>
      </c>
      <c r="M55" s="119">
        <f t="shared" ca="1" si="34"/>
        <v>323500</v>
      </c>
      <c r="N55" s="119">
        <f t="shared" ca="1" si="34"/>
        <v>195725.54</v>
      </c>
      <c r="O55" s="119">
        <f t="shared" ca="1" si="32"/>
        <v>30.251242658423493</v>
      </c>
      <c r="P55" s="119">
        <f t="shared" ca="1" si="33"/>
        <v>60.502485316846986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647000</v>
      </c>
      <c r="M56" s="495">
        <f t="shared" ca="1" si="35"/>
        <v>323500</v>
      </c>
      <c r="N56" s="495">
        <f t="shared" ca="1" si="35"/>
        <v>195725.54</v>
      </c>
      <c r="O56" s="495">
        <f t="shared" ca="1" si="32"/>
        <v>30.251242658423493</v>
      </c>
      <c r="P56" s="495">
        <f t="shared" ca="1" si="33"/>
        <v>60.502485316846986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IFERROR(__xludf.DUMMYFUNCTION("IMPORTRANGE(""https://docs.google.com/spreadsheets/d/1MeEWN-I1oV_STSDYn1IFDPWt_1FKiwhDph83XaGc0o0/edit?usp=sharing"",""งบพรบ!W59"")"),647000)</f>
        <v>647000</v>
      </c>
      <c r="M58" s="90">
        <f ca="1">IFERROR(__xludf.DUMMYFUNCTION("IMPORTRANGE(""https://docs.google.com/spreadsheets/d/1MeEWN-I1oV_STSDYn1IFDPWt_1FKiwhDph83XaGc0o0/edit?usp=sharing"",""งบพรบ!AB59"")"),323500)</f>
        <v>323500</v>
      </c>
      <c r="N58" s="90">
        <f ca="1">IFERROR(__xludf.DUMMYFUNCTION("IMPORTRANGE(""https://docs.google.com/spreadsheets/d/1MeEWN-I1oV_STSDYn1IFDPWt_1FKiwhDph83XaGc0o0/edit?usp=sharing"",""งบพรบ!AD59"")"),195725.54)</f>
        <v>195725.54</v>
      </c>
      <c r="O58" s="90">
        <f t="shared" ca="1" si="32"/>
        <v>30.251242658423493</v>
      </c>
      <c r="P58" s="90">
        <f t="shared" ca="1" si="33"/>
        <v>60.502485316846986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IFERROR(__xludf.DUMMYFUNCTION("IMPORTRANGE(""https://docs.google.com/spreadsheets/d/1MeEWN-I1oV_STSDYn1IFDPWt_1FKiwhDph83XaGc0o0/edit?usp=sharing"",""งบพรบ!Z59"")"),0)</f>
        <v>0</v>
      </c>
      <c r="M61" s="51">
        <f ca="1">IFERROR(__xludf.DUMMYFUNCTION("IMPORTRANGE(""https://docs.google.com/spreadsheets/d/1MeEWN-I1oV_STSDYn1IFDPWt_1FKiwhDph83XaGc0o0/edit?usp=sharing"",""งบพรบ!AC59"")"),0)</f>
        <v>0</v>
      </c>
      <c r="N61" s="51">
        <f ca="1">IFERROR(__xludf.DUMMYFUNCTION("IMPORTRANGE(""https://docs.google.com/spreadsheets/d/1MeEWN-I1oV_STSDYn1IFDPWt_1FKiwhDph83XaGc0o0/edit?usp=sharing"",""งบพรบ!AE59"")"),0)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IFERROR(__xludf.DUMMYFUNCTION("IMPORTRANGE(""https://docs.google.com/spreadsheets/d/1MeEWN-I1oV_STSDYn1IFDPWt_1FKiwhDph83XaGc0o0/edit?usp=sharing"",""งบพรบ!AG59"")"),0)</f>
        <v>0</v>
      </c>
      <c r="M71" s="90">
        <f ca="1">IFERROR(__xludf.DUMMYFUNCTION("IMPORTRANGE(""https://docs.google.com/spreadsheets/d/1MeEWN-I1oV_STSDYn1IFDPWt_1FKiwhDph83XaGc0o0/edit?usp=sharing"",""งบพรบ!AL59"")"),0)</f>
        <v>0</v>
      </c>
      <c r="N71" s="90">
        <f ca="1">IFERROR(__xludf.DUMMYFUNCTION("IMPORTRANGE(""https://docs.google.com/spreadsheets/d/1MeEWN-I1oV_STSDYn1IFDPWt_1FKiwhDph83XaGc0o0/edit?usp=sharing"",""งบพรบ!AN59"")"),0)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IFERROR(__xludf.DUMMYFUNCTION("IMPORTRANGE(""https://docs.google.com/spreadsheets/d/1MeEWN-I1oV_STSDYn1IFDPWt_1FKiwhDph83XaGc0o0/edit?usp=sharing"",""งบพรบ!AJ59"")"),0)</f>
        <v>0</v>
      </c>
      <c r="M74" s="90">
        <f ca="1">IFERROR(__xludf.DUMMYFUNCTION("IMPORTRANGE(""https://docs.google.com/spreadsheets/d/1MeEWN-I1oV_STSDYn1IFDPWt_1FKiwhDph83XaGc0o0/edit?usp=sharing"",""งบพรบ!AM59"")"),0)</f>
        <v>0</v>
      </c>
      <c r="N74" s="90">
        <f ca="1">IFERROR(__xludf.DUMMYFUNCTION("IMPORTRANGE(""https://docs.google.com/spreadsheets/d/1MeEWN-I1oV_STSDYn1IFDPWt_1FKiwhDph83XaGc0o0/edit?usp=sharing"",""งบพรบ!AO59"")"),0)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IFERROR(__xludf.DUMMYFUNCTION("IMPORTRANGE(""https://docs.google.com/spreadsheets/d/1QqKyyYR6Q21VydFLVH3TRQUabQu_ym0Zz7PgGX0-kHA/edit?usp=sharing"",""แผน!H59"")"),0)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IFERROR(__xludf.DUMMYFUNCTION("IMPORTRANGE(""https://docs.google.com/spreadsheets/d/1QqKyyYR6Q21VydFLVH3TRQUabQu_ym0Zz7PgGX0-kHA/edit?usp=sharing"",""แผน!I59"")"),0)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IFERROR(__xludf.DUMMYFUNCTION("IMPORTRANGE(""https://docs.google.com/spreadsheets/d/1QqKyyYR6Q21VydFLVH3TRQUabQu_ym0Zz7PgGX0-kHA/edit?usp=sharing"",""แผน!F59"")"),0)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IFERROR(__xludf.DUMMYFUNCTION("IMPORTRANGE(""https://docs.google.com/spreadsheets/d/1QqKyyYR6Q21VydFLVH3TRQUabQu_ym0Zz7PgGX0-kHA/edit?usp=sharing"",""แผน!G59"")"),0)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IFERROR(__xludf.DUMMYFUNCTION("IMPORTRANGE(""https://docs.google.com/spreadsheets/d/1QqKyyYR6Q21VydFLVH3TRQUabQu_ym0Zz7PgGX0-kHA/edit?usp=sharing"",""แผน!D59"")"),0)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IFERROR(__xludf.DUMMYFUNCTION("IMPORTRANGE(""https://docs.google.com/spreadsheets/d/1QqKyyYR6Q21VydFLVH3TRQUabQu_ym0Zz7PgGX0-kHA/edit?usp=sharing"",""แผน!E59"")"),0)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IFERROR(__xludf.DUMMYFUNCTION("IMPORTRANGE(""https://docs.google.com/spreadsheets/d/1QqKyyYR6Q21VydFLVH3TRQUabQu_ym0Zz7PgGX0-kHA/edit?usp=sharing"",""แผน!J59"")"),0)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30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115940</v>
      </c>
      <c r="M88" s="151">
        <f t="shared" ca="1" si="49"/>
        <v>49590</v>
      </c>
      <c r="N88" s="151">
        <f t="shared" ca="1" si="49"/>
        <v>0</v>
      </c>
      <c r="O88" s="151">
        <f t="shared" ref="O88:O96" ca="1" si="50">IF(L88&gt;0,N88*100/L88,0)</f>
        <v>0</v>
      </c>
      <c r="P88" s="151">
        <f t="shared" ref="P88:P96" ca="1" si="51">IF(M88&gt;0,N88*100/M88,0)</f>
        <v>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115940</v>
      </c>
      <c r="M90" s="90">
        <f t="shared" ca="1" si="52"/>
        <v>49590</v>
      </c>
      <c r="N90" s="90">
        <f t="shared" ca="1" si="52"/>
        <v>0</v>
      </c>
      <c r="O90" s="90">
        <f t="shared" ca="1" si="50"/>
        <v>0</v>
      </c>
      <c r="P90" s="90">
        <f t="shared" ca="1" si="51"/>
        <v>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115940</v>
      </c>
      <c r="M91" s="495">
        <f t="shared" ca="1" si="53"/>
        <v>49590</v>
      </c>
      <c r="N91" s="495">
        <f t="shared" ca="1" si="53"/>
        <v>0</v>
      </c>
      <c r="O91" s="495">
        <f t="shared" ca="1" si="50"/>
        <v>0</v>
      </c>
      <c r="P91" s="495">
        <f t="shared" ca="1" si="51"/>
        <v>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IFERROR(__xludf.DUMMYFUNCTION("IMPORTRANGE(""https://docs.google.com/spreadsheets/d/1MeEWN-I1oV_STSDYn1IFDPWt_1FKiwhDph83XaGc0o0/edit?usp=sharing"",""งบพรบ!AQ59"")"),115940)</f>
        <v>115940</v>
      </c>
      <c r="M93" s="90">
        <f ca="1">IFERROR(__xludf.DUMMYFUNCTION("IMPORTRANGE(""https://docs.google.com/spreadsheets/d/1MeEWN-I1oV_STSDYn1IFDPWt_1FKiwhDph83XaGc0o0/edit?usp=sharing"",""งบพรบ!AV59"")"),49590)</f>
        <v>49590</v>
      </c>
      <c r="N93" s="90">
        <f ca="1">IFERROR(__xludf.DUMMYFUNCTION("IMPORTRANGE(""https://docs.google.com/spreadsheets/d/1MeEWN-I1oV_STSDYn1IFDPWt_1FKiwhDph83XaGc0o0/edit?usp=sharing"",""งบพรบ!AX59"")"),0)</f>
        <v>0</v>
      </c>
      <c r="O93" s="90">
        <f t="shared" ca="1" si="50"/>
        <v>0</v>
      </c>
      <c r="P93" s="90">
        <f t="shared" ca="1" si="51"/>
        <v>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IFERROR(__xludf.DUMMYFUNCTION("IMPORTRANGE(""https://docs.google.com/spreadsheets/d/1MeEWN-I1oV_STSDYn1IFDPWt_1FKiwhDph83XaGc0o0/edit?usp=sharing"",""งบพรบ!AT59"")"),0)</f>
        <v>0</v>
      </c>
      <c r="M96" s="90">
        <f ca="1">IFERROR(__xludf.DUMMYFUNCTION("IMPORTRANGE(""https://docs.google.com/spreadsheets/d/1MeEWN-I1oV_STSDYn1IFDPWt_1FKiwhDph83XaGc0o0/edit?usp=sharing"",""งบพรบ!AW59"")"),0)</f>
        <v>0</v>
      </c>
      <c r="N96" s="90">
        <f ca="1">IFERROR(__xludf.DUMMYFUNCTION("IMPORTRANGE(""https://docs.google.com/spreadsheets/d/1MeEWN-I1oV_STSDYn1IFDPWt_1FKiwhDph83XaGc0o0/edit?usp=sharing"",""งบพรบ!AY59"")"),0)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IFERROR(__xludf.DUMMYFUNCTION("IMPORTRANGE(""https://docs.google.com/spreadsheets/d/1QqKyyYR6Q21VydFLVH3TRQUabQu_ym0Zz7PgGX0-kHA/edit?usp=sharing"",""แผน!K59"")"),30)</f>
        <v>30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IFERROR(__xludf.DUMMYFUNCTION("IMPORTRANGE(""https://docs.google.com/spreadsheets/d/1QqKyyYR6Q21VydFLVH3TRQUabQu_ym0Zz7PgGX0-kHA/edit?usp=sharing"",""แผน!L59"")"),10)</f>
        <v>10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IFERROR(__xludf.DUMMYFUNCTION("IMPORTRANGE(""https://docs.google.com/spreadsheets/d/1QqKyyYR6Q21VydFLVH3TRQUabQu_ym0Zz7PgGX0-kHA/edit?usp=sharing"",""แผน!M59"")"),3)</f>
        <v>3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IFERROR(__xludf.DUMMYFUNCTION("IMPORTRANGE(""https://docs.google.com/spreadsheets/d/1QqKyyYR6Q21VydFLVH3TRQUabQu_ym0Zz7PgGX0-kHA/edit?usp=sharing"",""แผน!N59"")"),30)</f>
        <v>30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IFERROR(__xludf.DUMMYFUNCTION("IMPORTRANGE(""https://docs.google.com/spreadsheets/d/1QqKyyYR6Q21VydFLVH3TRQUabQu_ym0Zz7PgGX0-kHA/edit?usp=sharing"",""แผน!O59"")"),10)</f>
        <v>10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IFERROR(__xludf.DUMMYFUNCTION("IMPORTRANGE(""https://docs.google.com/spreadsheets/d/1QqKyyYR6Q21VydFLVH3TRQUabQu_ym0Zz7PgGX0-kHA/edit?usp=sharing"",""แผน!O59"")"),10)</f>
        <v>10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IFERROR(__xludf.DUMMYFUNCTION("IMPORTRANGE(""https://docs.google.com/spreadsheets/d/1QqKyyYR6Q21VydFLVH3TRQUabQu_ym0Zz7PgGX0-kHA/edit?usp=sharing"",""แผน!P59"")"),2)</f>
        <v>2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IFERROR(__xludf.DUMMYFUNCTION("IMPORTRANGE(""https://docs.google.com/spreadsheets/d/1QqKyyYR6Q21VydFLVH3TRQUabQu_ym0Zz7PgGX0-kHA/edit?usp=sharing"",""แผน!P59"")"),2)</f>
        <v>2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IFERROR(__xludf.DUMMYFUNCTION("IMPORTRANGE(""https://docs.google.com/spreadsheets/d/1QqKyyYR6Q21VydFLVH3TRQUabQu_ym0Zz7PgGX0-kHA/edit?usp=sharing"",""แผน!Q59"")"),1)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IFERROR(__xludf.DUMMYFUNCTION("IMPORTRANGE(""https://docs.google.com/spreadsheets/d/1QqKyyYR6Q21VydFLVH3TRQUabQu_ym0Zz7PgGX0-kHA/edit?usp=sharing"",""แผน!Q59"")"),1)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IFERROR(__xludf.DUMMYFUNCTION("IMPORTRANGE(""https://docs.google.com/spreadsheets/d/1QqKyyYR6Q21VydFLVH3TRQUabQu_ym0Zz7PgGX0-kHA/edit?usp=sharing"",""แผน!R59"")"),10)</f>
        <v>10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3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IFERROR(__xludf.DUMMYFUNCTION("IMPORTRANGE(""https://docs.google.com/spreadsheets/d/1QqKyyYR6Q21VydFLVH3TRQUabQu_ym0Zz7PgGX0-kHA/edit?usp=sharing"",""แผน!R59"")"),10)</f>
        <v>10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IFERROR(__xludf.DUMMYFUNCTION("IMPORTRANGE(""https://docs.google.com/spreadsheets/d/1QqKyyYR6Q21VydFLVH3TRQUabQu_ym0Zz7PgGX0-kHA/edit?usp=sharing"",""แผน!R59"")"),10)</f>
        <v>10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IFERROR(__xludf.DUMMYFUNCTION("IMPORTRANGE(""https://docs.google.com/spreadsheets/d/1QqKyyYR6Q21VydFLVH3TRQUabQu_ym0Zz7PgGX0-kHA/edit?usp=sharing"",""แผน!S59"")"),2)</f>
        <v>2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IFERROR(__xludf.DUMMYFUNCTION("IMPORTRANGE(""https://docs.google.com/spreadsheets/d/1QqKyyYR6Q21VydFLVH3TRQUabQu_ym0Zz7PgGX0-kHA/edit?usp=sharing"",""แผน!T59"")"),1)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IFERROR(__xludf.DUMMYFUNCTION("IMPORTRANGE(""https://docs.google.com/spreadsheets/d/1MeEWN-I1oV_STSDYn1IFDPWt_1FKiwhDph83XaGc0o0/edit?usp=sharing"",""งบพรบ!BA59"")"),0)</f>
        <v>0</v>
      </c>
      <c r="M124" s="90">
        <f ca="1">IFERROR(__xludf.DUMMYFUNCTION("IMPORTRANGE(""https://docs.google.com/spreadsheets/d/1MeEWN-I1oV_STSDYn1IFDPWt_1FKiwhDph83XaGc0o0/edit?usp=sharing"",""งบพรบ!BF59"")"),0)</f>
        <v>0</v>
      </c>
      <c r="N124" s="90">
        <f ca="1">IFERROR(__xludf.DUMMYFUNCTION("IMPORTRANGE(""https://docs.google.com/spreadsheets/d/1MeEWN-I1oV_STSDYn1IFDPWt_1FKiwhDph83XaGc0o0/edit?usp=sharing"",""งบพรบ!BH59"")"),0)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IFERROR(__xludf.DUMMYFUNCTION("IMPORTRANGE(""https://docs.google.com/spreadsheets/d/1MeEWN-I1oV_STSDYn1IFDPWt_1FKiwhDph83XaGc0o0/edit?usp=sharing"",""งบพรบ!BD59"")"),0)</f>
        <v>0</v>
      </c>
      <c r="M127" s="90">
        <f ca="1">IFERROR(__xludf.DUMMYFUNCTION("IMPORTRANGE(""https://docs.google.com/spreadsheets/d/1MeEWN-I1oV_STSDYn1IFDPWt_1FKiwhDph83XaGc0o0/edit?usp=sharing"",""งบพรบ!BG59"")"),0)</f>
        <v>0</v>
      </c>
      <c r="N127" s="90">
        <f ca="1">IFERROR(__xludf.DUMMYFUNCTION("IMPORTRANGE(""https://docs.google.com/spreadsheets/d/1MeEWN-I1oV_STSDYn1IFDPWt_1FKiwhDph83XaGc0o0/edit?usp=sharing"",""งบพรบ!BI59"")"),0)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IFERROR(__xludf.DUMMYFUNCTION("IMPORTRANGE(""https://docs.google.com/spreadsheets/d/1MeEWN-I1oV_STSDYn1IFDPWt_1FKiwhDph83XaGc0o0/edit?usp=sharing"",""งบพรบ!BK59"")"),0)</f>
        <v>0</v>
      </c>
      <c r="M137" s="90">
        <f ca="1">IFERROR(__xludf.DUMMYFUNCTION("IMPORTRANGE(""https://docs.google.com/spreadsheets/d/1MeEWN-I1oV_STSDYn1IFDPWt_1FKiwhDph83XaGc0o0/edit?usp=sharing"",""งบพรบ!BP59"")"),0)</f>
        <v>0</v>
      </c>
      <c r="N137" s="90">
        <f ca="1">IFERROR(__xludf.DUMMYFUNCTION("IMPORTRANGE(""https://docs.google.com/spreadsheets/d/1MeEWN-I1oV_STSDYn1IFDPWt_1FKiwhDph83XaGc0o0/edit?usp=sharing"",""งบพรบ!BR59"")"),0)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IFERROR(__xludf.DUMMYFUNCTION("IMPORTRANGE(""https://docs.google.com/spreadsheets/d/1MeEWN-I1oV_STSDYn1IFDPWt_1FKiwhDph83XaGc0o0/edit?usp=sharing"",""งบพรบ!BN59"")"),0)</f>
        <v>0</v>
      </c>
      <c r="M140" s="90">
        <f ca="1">IFERROR(__xludf.DUMMYFUNCTION("IMPORTRANGE(""https://docs.google.com/spreadsheets/d/1MeEWN-I1oV_STSDYn1IFDPWt_1FKiwhDph83XaGc0o0/edit?usp=sharing"",""งบพรบ!BQ59"")"),0)</f>
        <v>0</v>
      </c>
      <c r="N140" s="90">
        <f ca="1">IFERROR(__xludf.DUMMYFUNCTION("IMPORTRANGE(""https://docs.google.com/spreadsheets/d/1MeEWN-I1oV_STSDYn1IFDPWt_1FKiwhDph83XaGc0o0/edit?usp=sharing"",""งบพรบ!BS59"")"),0)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IFERROR(__xludf.DUMMYFUNCTION("IMPORTRANGE(""https://docs.google.com/spreadsheets/d/1QqKyyYR6Q21VydFLVH3TRQUabQu_ym0Zz7PgGX0-kHA/edit?usp=sharing"",""แผน!U59"")"),0)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IFERROR(__xludf.DUMMYFUNCTION("IMPORTRANGE(""https://docs.google.com/spreadsheets/d/1QqKyyYR6Q21VydFLVH3TRQUabQu_ym0Zz7PgGX0-kHA/edit?usp=sharing"",""แผน!V59"")"),0)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IFERROR(__xludf.DUMMYFUNCTION("IMPORTRANGE(""https://docs.google.com/spreadsheets/d/1QqKyyYR6Q21VydFLVH3TRQUabQu_ym0Zz7PgGX0-kHA/edit?usp=sharing"",""แผน!W59"")"),0)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IFERROR(__xludf.DUMMYFUNCTION("IMPORTRANGE(""https://docs.google.com/spreadsheets/d/1MeEWN-I1oV_STSDYn1IFDPWt_1FKiwhDph83XaGc0o0/edit?usp=sharing"",""งบพรบ!BU59"")"),0)</f>
        <v>0</v>
      </c>
      <c r="M154" s="90">
        <f ca="1">IFERROR(__xludf.DUMMYFUNCTION("IMPORTRANGE(""https://docs.google.com/spreadsheets/d/1MeEWN-I1oV_STSDYn1IFDPWt_1FKiwhDph83XaGc0o0/edit?usp=sharing"",""งบพรบ!BZ59"")"),0)</f>
        <v>0</v>
      </c>
      <c r="N154" s="90">
        <f ca="1">IFERROR(__xludf.DUMMYFUNCTION("IMPORTRANGE(""https://docs.google.com/spreadsheets/d/1MeEWN-I1oV_STSDYn1IFDPWt_1FKiwhDph83XaGc0o0/edit?usp=sharing"",""งบพรบ!CB59"")"),0)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IFERROR(__xludf.DUMMYFUNCTION("IMPORTRANGE(""https://docs.google.com/spreadsheets/d/1MeEWN-I1oV_STSDYn1IFDPWt_1FKiwhDph83XaGc0o0/edit?usp=sharing"",""งบพรบ!BX59"")"),0)</f>
        <v>0</v>
      </c>
      <c r="M157" s="90">
        <f ca="1">IFERROR(__xludf.DUMMYFUNCTION("IMPORTRANGE(""https://docs.google.com/spreadsheets/d/1MeEWN-I1oV_STSDYn1IFDPWt_1FKiwhDph83XaGc0o0/edit?usp=sharing"",""งบพรบ!CA59"")"),0)</f>
        <v>0</v>
      </c>
      <c r="N157" s="90">
        <f ca="1">IFERROR(__xludf.DUMMYFUNCTION("IMPORTRANGE(""https://docs.google.com/spreadsheets/d/1MeEWN-I1oV_STSDYn1IFDPWt_1FKiwhDph83XaGc0o0/edit?usp=sharing"",""งบพรบ!CC59"")"),0)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IFERROR(__xludf.DUMMYFUNCTION("IMPORTRANGE(""https://docs.google.com/spreadsheets/d/1QqKyyYR6Q21VydFLVH3TRQUabQu_ym0Zz7PgGX0-kHA/edit?usp=sharing"",""แผน!X59"")"),0)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 hidden="1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 hidden="1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0</v>
      </c>
      <c r="M165" s="150">
        <f t="shared" ca="1" si="84"/>
        <v>0</v>
      </c>
      <c r="N165" s="150">
        <f t="shared" ca="1" si="84"/>
        <v>0</v>
      </c>
      <c r="O165" s="150">
        <f t="shared" ref="O165:O173" ca="1" si="85">IF(L165&gt;0,N165*100/L165,0)</f>
        <v>0</v>
      </c>
      <c r="P165" s="150">
        <f t="shared" ref="P165:P173" ca="1" si="86">IF(M165&gt;0,N165*100/M165,0)</f>
        <v>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0</v>
      </c>
      <c r="M167" s="90">
        <f t="shared" ca="1" si="87"/>
        <v>0</v>
      </c>
      <c r="N167" s="90">
        <f t="shared" ca="1" si="87"/>
        <v>0</v>
      </c>
      <c r="O167" s="90">
        <f t="shared" ca="1" si="85"/>
        <v>0</v>
      </c>
      <c r="P167" s="90">
        <f t="shared" ca="1" si="86"/>
        <v>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 hidden="1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0</v>
      </c>
      <c r="M168" s="495">
        <f t="shared" ca="1" si="88"/>
        <v>0</v>
      </c>
      <c r="N168" s="495">
        <f t="shared" ca="1" si="88"/>
        <v>0</v>
      </c>
      <c r="O168" s="495">
        <f t="shared" ca="1" si="85"/>
        <v>0</v>
      </c>
      <c r="P168" s="495">
        <f t="shared" ca="1" si="86"/>
        <v>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IFERROR(__xludf.DUMMYFUNCTION("IMPORTRANGE(""https://docs.google.com/spreadsheets/d/1MeEWN-I1oV_STSDYn1IFDPWt_1FKiwhDph83XaGc0o0/edit?usp=sharing"",""งบพรบ!CE59"")"),0)</f>
        <v>0</v>
      </c>
      <c r="M170" s="90">
        <f ca="1">IFERROR(__xludf.DUMMYFUNCTION("IMPORTRANGE(""https://docs.google.com/spreadsheets/d/1MeEWN-I1oV_STSDYn1IFDPWt_1FKiwhDph83XaGc0o0/edit?usp=sharing"",""งบพรบ!CJ59"")"),0)</f>
        <v>0</v>
      </c>
      <c r="N170" s="90">
        <f ca="1">IFERROR(__xludf.DUMMYFUNCTION("IMPORTRANGE(""https://docs.google.com/spreadsheets/d/1MeEWN-I1oV_STSDYn1IFDPWt_1FKiwhDph83XaGc0o0/edit?usp=sharing"",""งบพรบ!CL59"")"),0)</f>
        <v>0</v>
      </c>
      <c r="O170" s="90">
        <f t="shared" ca="1" si="85"/>
        <v>0</v>
      </c>
      <c r="P170" s="90">
        <f t="shared" ca="1" si="86"/>
        <v>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 hidden="1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IFERROR(__xludf.DUMMYFUNCTION("IMPORTRANGE(""https://docs.google.com/spreadsheets/d/1MeEWN-I1oV_STSDYn1IFDPWt_1FKiwhDph83XaGc0o0/edit?usp=sharing"",""งบพรบ!CH59"")"),0)</f>
        <v>0</v>
      </c>
      <c r="M173" s="90">
        <f ca="1">IFERROR(__xludf.DUMMYFUNCTION("IMPORTRANGE(""https://docs.google.com/spreadsheets/d/1MeEWN-I1oV_STSDYn1IFDPWt_1FKiwhDph83XaGc0o0/edit?usp=sharing"",""งบพรบ!CK59"")"),0)</f>
        <v>0</v>
      </c>
      <c r="N173" s="90">
        <f ca="1">IFERROR(__xludf.DUMMYFUNCTION("IMPORTRANGE(""https://docs.google.com/spreadsheets/d/1MeEWN-I1oV_STSDYn1IFDPWt_1FKiwhDph83XaGc0o0/edit?usp=sharing"",""งบพรบ!CM59"")"),0)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 hidden="1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 hidden="1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 hidden="1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IFERROR(__xludf.DUMMYFUNCTION("IMPORTRANGE(""https://docs.google.com/spreadsheets/d/1QqKyyYR6Q21VydFLVH3TRQUabQu_ym0Zz7PgGX0-kHA/edit?usp=sharing"",""แผน!Y59"")"),0)</f>
        <v>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273800</v>
      </c>
      <c r="M181" s="150">
        <f t="shared" ca="1" si="91"/>
        <v>147750</v>
      </c>
      <c r="N181" s="150">
        <f t="shared" ca="1" si="91"/>
        <v>45051.68</v>
      </c>
      <c r="O181" s="150">
        <f t="shared" ref="O181:O189" ca="1" si="92">IF(L181&gt;0,N181*100/L181,0)</f>
        <v>16.454229364499636</v>
      </c>
      <c r="P181" s="150">
        <f t="shared" ref="P181:P189" ca="1" si="93">IF(M181&gt;0,N181*100/M181,0)</f>
        <v>30.491830795262267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273800</v>
      </c>
      <c r="M183" s="90">
        <f t="shared" ca="1" si="94"/>
        <v>147750</v>
      </c>
      <c r="N183" s="90">
        <f t="shared" ca="1" si="94"/>
        <v>45051.68</v>
      </c>
      <c r="O183" s="90">
        <f t="shared" ca="1" si="92"/>
        <v>16.454229364499636</v>
      </c>
      <c r="P183" s="90">
        <f t="shared" ca="1" si="93"/>
        <v>30.491830795262267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273800</v>
      </c>
      <c r="M184" s="495">
        <f t="shared" ca="1" si="95"/>
        <v>147750</v>
      </c>
      <c r="N184" s="495">
        <f t="shared" ca="1" si="95"/>
        <v>45051.68</v>
      </c>
      <c r="O184" s="495">
        <f t="shared" ca="1" si="92"/>
        <v>16.454229364499636</v>
      </c>
      <c r="P184" s="495">
        <f t="shared" ca="1" si="93"/>
        <v>30.491830795262267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IFERROR(__xludf.DUMMYFUNCTION("IMPORTRANGE(""https://docs.google.com/spreadsheets/d/1MeEWN-I1oV_STSDYn1IFDPWt_1FKiwhDph83XaGc0o0/edit?usp=sharing"",""งบพรบ!CO59"")"),273800)</f>
        <v>273800</v>
      </c>
      <c r="M186" s="90">
        <f ca="1">IFERROR(__xludf.DUMMYFUNCTION("IMPORTRANGE(""https://docs.google.com/spreadsheets/d/1MeEWN-I1oV_STSDYn1IFDPWt_1FKiwhDph83XaGc0o0/edit?usp=sharing"",""งบพรบ!CT59"")"),147750)</f>
        <v>147750</v>
      </c>
      <c r="N186" s="90">
        <f ca="1">IFERROR(__xludf.DUMMYFUNCTION("IMPORTRANGE(""https://docs.google.com/spreadsheets/d/1MeEWN-I1oV_STSDYn1IFDPWt_1FKiwhDph83XaGc0o0/edit?usp=sharing"",""งบพรบ!CV59"")"),45051.68)</f>
        <v>45051.68</v>
      </c>
      <c r="O186" s="90">
        <f t="shared" ca="1" si="92"/>
        <v>16.454229364499636</v>
      </c>
      <c r="P186" s="90">
        <f t="shared" ca="1" si="93"/>
        <v>30.491830795262267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IFERROR(__xludf.DUMMYFUNCTION("IMPORTRANGE(""https://docs.google.com/spreadsheets/d/1MeEWN-I1oV_STSDYn1IFDPWt_1FKiwhDph83XaGc0o0/edit?usp=sharing"",""งบพรบ!CR59"")"),0)</f>
        <v>0</v>
      </c>
      <c r="M189" s="90">
        <f ca="1">IFERROR(__xludf.DUMMYFUNCTION("IMPORTRANGE(""https://docs.google.com/spreadsheets/d/1MeEWN-I1oV_STSDYn1IFDPWt_1FKiwhDph83XaGc0o0/edit?usp=sharing"",""งบพรบ!CU59"")"),0)</f>
        <v>0</v>
      </c>
      <c r="N189" s="90">
        <f ca="1">IFERROR(__xludf.DUMMYFUNCTION("IMPORTRANGE(""https://docs.google.com/spreadsheets/d/1MeEWN-I1oV_STSDYn1IFDPWt_1FKiwhDph83XaGc0o0/edit?usp=sharing"",""งบพรบ!CW59"")"),0)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IFERROR(__xludf.DUMMYFUNCTION("IMPORTRANGE(""https://docs.google.com/spreadsheets/d/1QqKyyYR6Q21VydFLVH3TRQUabQu_ym0Zz7PgGX0-kHA/edit?usp=sharing"",""แผน!Z59"")"),6000)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IFERROR(__xludf.DUMMYFUNCTION("IMPORTRANGE(""https://docs.google.com/spreadsheets/d/1QqKyyYR6Q21VydFLVH3TRQUabQu_ym0Zz7PgGX0-kHA/edit?usp=sharing"",""แผน!AC59"")"),4)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1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13000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IFERROR(__xludf.DUMMYFUNCTION("IMPORTRANGE(""https://docs.google.com/spreadsheets/d/1QqKyyYR6Q21VydFLVH3TRQUabQu_ym0Zz7PgGX0-kHA/edit?usp=sharing"",""แผน!AE59"")"),1000)</f>
        <v>1000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IFERROR(__xludf.DUMMYFUNCTION("IMPORTRANGE(""https://docs.google.com/spreadsheets/d/1QqKyyYR6Q21VydFLVH3TRQUabQu_ym0Zz7PgGX0-kHA/edit?usp=sharing"",""แผน!AF59"")"),8000)</f>
        <v>8000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IFERROR(__xludf.DUMMYFUNCTION("IMPORTRANGE(""https://docs.google.com/spreadsheets/d/1QqKyyYR6Q21VydFLVH3TRQUabQu_ym0Zz7PgGX0-kHA/edit?usp=sharing"",""แผน!AG59"")"),4000)</f>
        <v>4000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IFERROR(__xludf.DUMMYFUNCTION("IMPORTRANGE(""https://docs.google.com/spreadsheets/d/1QqKyyYR6Q21VydFLVH3TRQUabQu_ym0Zz7PgGX0-kHA/edit?usp=sharing"",""แผน!AH59"")"),0)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IFERROR(__xludf.DUMMYFUNCTION("IMPORTRANGE(""https://docs.google.com/spreadsheets/d/1QqKyyYR6Q21VydFLVH3TRQUabQu_ym0Zz7PgGX0-kHA/edit?usp=sharing"",""แผน!AI59"")"),1)</f>
        <v>1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1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IFERROR(__xludf.DUMMYFUNCTION("IMPORTRANGE(""https://docs.google.com/spreadsheets/d/1QqKyyYR6Q21VydFLVH3TRQUabQu_ym0Zz7PgGX0-kHA/edit?usp=sharing"",""แผน!AK59"")"),0)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IFERROR(__xludf.DUMMYFUNCTION("IMPORTRANGE(""https://docs.google.com/spreadsheets/d/1QqKyyYR6Q21VydFLVH3TRQUabQu_ym0Zz7PgGX0-kHA/edit?usp=sharing"",""แผน!AL59"")"),0)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IFERROR(__xludf.DUMMYFUNCTION("IMPORTRANGE(""https://docs.google.com/spreadsheets/d/1QqKyyYR6Q21VydFLVH3TRQUabQu_ym0Zz7PgGX0-kHA/edit?usp=sharing"",""แผน!AM59"")"),0)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IFERROR(__xludf.DUMMYFUNCTION("IMPORTRANGE(""https://docs.google.com/spreadsheets/d/1QqKyyYR6Q21VydFLVH3TRQUabQu_ym0Zz7PgGX0-kHA/edit?usp=sharing"",""แผน!AN59"")"),0)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IFERROR(__xludf.DUMMYFUNCTION("IMPORTRANGE(""https://docs.google.com/spreadsheets/d/1QqKyyYR6Q21VydFLVH3TRQUabQu_ym0Zz7PgGX0-kHA/edit?usp=sharing"",""แผน!AN59"")"),0)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30000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13500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IFERROR(__xludf.DUMMYFUNCTION("IMPORTRANGE(""https://docs.google.com/spreadsheets/d/1QqKyyYR6Q21VydFLVH3TRQUabQu_ym0Zz7PgGX0-kHA/edit?usp=sharing"",""แผน!AP59"")"),5000)</f>
        <v>5000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IFERROR(__xludf.DUMMYFUNCTION("IMPORTRANGE(""https://docs.google.com/spreadsheets/d/1QqKyyYR6Q21VydFLVH3TRQUabQu_ym0Zz7PgGX0-kHA/edit?usp=sharing"",""แผน!AQ59"")"),8500)</f>
        <v>8500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IFERROR(__xludf.DUMMYFUNCTION("IMPORTRANGE(""https://docs.google.com/spreadsheets/d/1QqKyyYR6Q21VydFLVH3TRQUabQu_ym0Zz7PgGX0-kHA/edit?usp=sharing"",""แผน!AR59"")"),0)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IFERROR(__xludf.DUMMYFUNCTION("IMPORTRANGE(""https://docs.google.com/spreadsheets/d/1QqKyyYR6Q21VydFLVH3TRQUabQu_ym0Zz7PgGX0-kHA/edit?usp=sharing"",""แผน!AT59"")"),30000)</f>
        <v>30000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IFERROR(__xludf.DUMMYFUNCTION("IMPORTRANGE(""https://docs.google.com/spreadsheets/d/1QqKyyYR6Q21VydFLVH3TRQUabQu_ym0Zz7PgGX0-kHA/edit?usp=sharing"",""แผน!AT59"")"),30000)</f>
        <v>30000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IFERROR(__xludf.DUMMYFUNCTION("IMPORTRANGE(""https://docs.google.com/spreadsheets/d/1QqKyyYR6Q21VydFLVH3TRQUabQu_ym0Zz7PgGX0-kHA/edit?usp=sharing"",""แผน!AS59"")"),0)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93200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20000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53200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10000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10000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20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1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341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20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93200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IFERROR(__xludf.DUMMYFUNCTION("IMPORTRANGE(""https://docs.google.com/spreadsheets/d/1QqKyyYR6Q21VydFLVH3TRQUabQu_ym0Zz7PgGX0-kHA/edit?usp=sharing"",""แผน!AV59"")"),20000)</f>
        <v>20000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IFERROR(__xludf.DUMMYFUNCTION("IMPORTRANGE(""https://docs.google.com/spreadsheets/d/1QqKyyYR6Q21VydFLVH3TRQUabQu_ym0Zz7PgGX0-kHA/edit?usp=sharing"",""แผน!AW59"")"),53200)</f>
        <v>53200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IFERROR(__xludf.DUMMYFUNCTION("IMPORTRANGE(""https://docs.google.com/spreadsheets/d/1QqKyyYR6Q21VydFLVH3TRQUabQu_ym0Zz7PgGX0-kHA/edit?usp=sharing"",""แผน!AX59"")"),10000)</f>
        <v>10000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IFERROR(__xludf.DUMMYFUNCTION("IMPORTRANGE(""https://docs.google.com/spreadsheets/d/1QqKyyYR6Q21VydFLVH3TRQUabQu_ym0Zz7PgGX0-kHA/edit?usp=sharing"",""แผน!AY59"")"),10000)</f>
        <v>10000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IFERROR(__xludf.DUMMYFUNCTION("IMPORTRANGE(""https://docs.google.com/spreadsheets/d/1QqKyyYR6Q21VydFLVH3TRQUabQu_ym0Zz7PgGX0-kHA/edit?usp=sharing"",""แผน!BE59"")"),20)</f>
        <v>20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20</v>
      </c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IFERROR(__xludf.DUMMYFUNCTION("IMPORTRANGE(""https://docs.google.com/spreadsheets/d/1QqKyyYR6Q21VydFLVH3TRQUabQu_ym0Zz7PgGX0-kHA/edit?usp=sharing"",""แผน!AZ59"")"),0)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IFERROR(__xludf.DUMMYFUNCTION("IMPORTRANGE(""https://docs.google.com/spreadsheets/d/1QqKyyYR6Q21VydFLVH3TRQUabQu_ym0Zz7PgGX0-kHA/edit?usp=sharing"",""แผน!BA59"")"),0)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IFERROR(__xludf.DUMMYFUNCTION("IMPORTRANGE(""https://docs.google.com/spreadsheets/d/1QqKyyYR6Q21VydFLVH3TRQUabQu_ym0Zz7PgGX0-kHA/edit?usp=sharing"",""แผน!BB59"")"),0)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IFERROR(__xludf.DUMMYFUNCTION("IMPORTRANGE(""https://docs.google.com/spreadsheets/d/1QqKyyYR6Q21VydFLVH3TRQUabQu_ym0Zz7PgGX0-kHA/edit?usp=sharing"",""แผน!BC59"")"),0)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IFERROR(__xludf.DUMMYFUNCTION("IMPORTRANGE(""https://docs.google.com/spreadsheets/d/1QqKyyYR6Q21VydFLVH3TRQUabQu_ym0Zz7PgGX0-kHA/edit?usp=sharing"",""แผน!BF59"")"),"")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IFERROR(__xludf.DUMMYFUNCTION("IMPORTRANGE(""https://docs.google.com/spreadsheets/d/1MeEWN-I1oV_STSDYn1IFDPWt_1FKiwhDph83XaGc0o0/edit?usp=sharing"",""งบพรบ!CY59"")"),26900)</f>
        <v>26900</v>
      </c>
      <c r="M266" s="90">
        <f ca="1">IFERROR(__xludf.DUMMYFUNCTION("IMPORTRANGE(""https://docs.google.com/spreadsheets/d/1MeEWN-I1oV_STSDYn1IFDPWt_1FKiwhDph83XaGc0o0/edit?usp=sharing"",""งบพรบ!DD59"")"),0)</f>
        <v>0</v>
      </c>
      <c r="N266" s="90">
        <f ca="1">IFERROR(__xludf.DUMMYFUNCTION("IMPORTRANGE(""https://docs.google.com/spreadsheets/d/1MeEWN-I1oV_STSDYn1IFDPWt_1FKiwhDph83XaGc0o0/edit?usp=sharing"",""งบพรบ!DF59"")"),0)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IFERROR(__xludf.DUMMYFUNCTION("IMPORTRANGE(""https://docs.google.com/spreadsheets/d/1MeEWN-I1oV_STSDYn1IFDPWt_1FKiwhDph83XaGc0o0/edit?usp=sharing"",""งบพรบ!DB59"")"),0)</f>
        <v>0</v>
      </c>
      <c r="M269" s="90">
        <f ca="1">IFERROR(__xludf.DUMMYFUNCTION("IMPORTRANGE(""https://docs.google.com/spreadsheets/d/1MeEWN-I1oV_STSDYn1IFDPWt_1FKiwhDph83XaGc0o0/edit?usp=sharing"",""งบพรบ!DE59"")"),0)</f>
        <v>0</v>
      </c>
      <c r="N269" s="90">
        <f ca="1">IFERROR(__xludf.DUMMYFUNCTION("IMPORTRANGE(""https://docs.google.com/spreadsheets/d/1MeEWN-I1oV_STSDYn1IFDPWt_1FKiwhDph83XaGc0o0/edit?usp=sharing"",""งบพรบ!DG59"")"),0)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IFERROR(__xludf.DUMMYFUNCTION("IMPORTRANGE(""https://docs.google.com/spreadsheets/d/1QqKyyYR6Q21VydFLVH3TRQUabQu_ym0Zz7PgGX0-kHA/edit?usp=sharing"",""แผน!EA59"")"),22)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5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50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22630</v>
      </c>
      <c r="M277" s="151">
        <f t="shared" ca="1" si="124"/>
        <v>9410</v>
      </c>
      <c r="N277" s="151">
        <f t="shared" ca="1" si="124"/>
        <v>740</v>
      </c>
      <c r="O277" s="151">
        <f t="shared" ref="O277:O285" ca="1" si="125">IF(L277&gt;0,N277*100/L277,0)</f>
        <v>3.2699955810870525</v>
      </c>
      <c r="P277" s="151">
        <f t="shared" ref="P277:P285" ca="1" si="126">IF(M277&gt;0,N277*100/M277,0)</f>
        <v>7.8639744952178532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22630</v>
      </c>
      <c r="M279" s="90">
        <f t="shared" ca="1" si="127"/>
        <v>9410</v>
      </c>
      <c r="N279" s="90">
        <f t="shared" ca="1" si="127"/>
        <v>740</v>
      </c>
      <c r="O279" s="90">
        <f t="shared" ca="1" si="125"/>
        <v>3.2699955810870525</v>
      </c>
      <c r="P279" s="90">
        <f t="shared" ca="1" si="126"/>
        <v>7.8639744952178532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22630</v>
      </c>
      <c r="M280" s="495">
        <f t="shared" ca="1" si="128"/>
        <v>9410</v>
      </c>
      <c r="N280" s="495">
        <f t="shared" ca="1" si="128"/>
        <v>740</v>
      </c>
      <c r="O280" s="495">
        <f t="shared" ca="1" si="125"/>
        <v>3.2699955810870525</v>
      </c>
      <c r="P280" s="495">
        <f t="shared" ca="1" si="126"/>
        <v>7.8639744952178532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IFERROR(__xludf.DUMMYFUNCTION("IMPORTRANGE(""https://docs.google.com/spreadsheets/d/1MeEWN-I1oV_STSDYn1IFDPWt_1FKiwhDph83XaGc0o0/edit?usp=sharing"",""งบพรบ!DI59"")"),22630)</f>
        <v>22630</v>
      </c>
      <c r="M282" s="90">
        <f ca="1">IFERROR(__xludf.DUMMYFUNCTION("IMPORTRANGE(""https://docs.google.com/spreadsheets/d/1MeEWN-I1oV_STSDYn1IFDPWt_1FKiwhDph83XaGc0o0/edit?usp=sharing"",""งบพรบ!DN59"")"),9410)</f>
        <v>9410</v>
      </c>
      <c r="N282" s="90">
        <f ca="1">IFERROR(__xludf.DUMMYFUNCTION("IMPORTRANGE(""https://docs.google.com/spreadsheets/d/1MeEWN-I1oV_STSDYn1IFDPWt_1FKiwhDph83XaGc0o0/edit?usp=sharing"",""งบพรบ!DP59"")"),740)</f>
        <v>740</v>
      </c>
      <c r="O282" s="90">
        <f t="shared" ca="1" si="125"/>
        <v>3.2699955810870525</v>
      </c>
      <c r="P282" s="90">
        <f t="shared" ca="1" si="126"/>
        <v>7.8639744952178532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IFERROR(__xludf.DUMMYFUNCTION("IMPORTRANGE(""https://docs.google.com/spreadsheets/d/1MeEWN-I1oV_STSDYn1IFDPWt_1FKiwhDph83XaGc0o0/edit?usp=sharing"",""งบพรบ!DL59"")"),0)</f>
        <v>0</v>
      </c>
      <c r="M285" s="90">
        <f ca="1">IFERROR(__xludf.DUMMYFUNCTION("IMPORTRANGE(""https://docs.google.com/spreadsheets/d/1MeEWN-I1oV_STSDYn1IFDPWt_1FKiwhDph83XaGc0o0/edit?usp=sharing"",""งบพรบ!DO59"")"),0)</f>
        <v>0</v>
      </c>
      <c r="N285" s="90">
        <f ca="1">IFERROR(__xludf.DUMMYFUNCTION("IMPORTRANGE(""https://docs.google.com/spreadsheets/d/1MeEWN-I1oV_STSDYn1IFDPWt_1FKiwhDph83XaGc0o0/edit?usp=sharing"",""งบพรบ!DQ59"")"),0)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IFERROR(__xludf.DUMMYFUNCTION("IMPORTRANGE(""https://docs.google.com/spreadsheets/d/1QqKyyYR6Q21VydFLVH3TRQUabQu_ym0Zz7PgGX0-kHA/edit?usp=sharing"",""แผน!EC59"")"),50)</f>
        <v>50</v>
      </c>
      <c r="J287" s="210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IFERROR(__xludf.DUMMYFUNCTION("IMPORTRANGE(""https://docs.google.com/spreadsheets/d/1QqKyyYR6Q21VydFLVH3TRQUabQu_ym0Zz7PgGX0-kHA/edit?usp=sharing"",""แผน!EB59"")"),5)</f>
        <v>5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IFERROR(__xludf.DUMMYFUNCTION("IMPORTRANGE(""https://docs.google.com/spreadsheets/d/1QqKyyYR6Q21VydFLVH3TRQUabQu_ym0Zz7PgGX0-kHA/edit?usp=sharing"",""แผน!EB59"")"),5)</f>
        <v>5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>
      <c r="A291" s="166"/>
      <c r="B291" s="167"/>
      <c r="C291" s="167"/>
      <c r="D291" s="174"/>
      <c r="E291" s="618" t="s">
        <v>133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IFERROR(__xludf.DUMMYFUNCTION("IMPORTRANGE(""https://docs.google.com/spreadsheets/d/1QqKyyYR6Q21VydFLVH3TRQUabQu_ym0Zz7PgGX0-kHA/edit?usp=sharing"",""แผน!EB59"")"),5)</f>
        <v>5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IFERROR(__xludf.DUMMYFUNCTION("IMPORTRANGE(""https://docs.google.com/spreadsheets/d/1QqKyyYR6Q21VydFLVH3TRQUabQu_ym0Zz7PgGX0-kHA/edit?usp=sharing"",""แผน!EB59"")"),5)</f>
        <v>5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>
      <c r="A294" s="375"/>
      <c r="B294" s="376"/>
      <c r="C294" s="376"/>
      <c r="D294" s="378"/>
      <c r="E294" s="724" t="s">
        <v>136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IFERROR(__xludf.DUMMYFUNCTION("IMPORTRANGE(""https://docs.google.com/spreadsheets/d/1QqKyyYR6Q21VydFLVH3TRQUabQu_ym0Zz7PgGX0-kHA/edit?usp=sharing"",""แผน!EB59"")"),5)</f>
        <v>5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15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206800</v>
      </c>
      <c r="M298" s="151">
        <f t="shared" ca="1" si="134"/>
        <v>102840</v>
      </c>
      <c r="N298" s="151">
        <f t="shared" ca="1" si="134"/>
        <v>12132</v>
      </c>
      <c r="O298" s="151">
        <f t="shared" ref="O298:O306" ca="1" si="135">IF(L298&gt;0,N298*100/L298,0)</f>
        <v>5.8665377176015472</v>
      </c>
      <c r="P298" s="151">
        <f t="shared" ref="P298:P306" ca="1" si="136">IF(M298&gt;0,N298*100/M298,0)</f>
        <v>11.796966161026837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206800</v>
      </c>
      <c r="M300" s="90">
        <f t="shared" ca="1" si="137"/>
        <v>102840</v>
      </c>
      <c r="N300" s="90">
        <f t="shared" ca="1" si="137"/>
        <v>12132</v>
      </c>
      <c r="O300" s="90">
        <f t="shared" ca="1" si="135"/>
        <v>5.8665377176015472</v>
      </c>
      <c r="P300" s="90">
        <f t="shared" ca="1" si="136"/>
        <v>11.796966161026837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206800</v>
      </c>
      <c r="M301" s="495">
        <f t="shared" ca="1" si="138"/>
        <v>102840</v>
      </c>
      <c r="N301" s="495">
        <f t="shared" ca="1" si="138"/>
        <v>12132</v>
      </c>
      <c r="O301" s="495">
        <f t="shared" ca="1" si="135"/>
        <v>5.8665377176015472</v>
      </c>
      <c r="P301" s="495">
        <f t="shared" ca="1" si="136"/>
        <v>11.796966161026837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IFERROR(__xludf.DUMMYFUNCTION("IMPORTRANGE(""https://docs.google.com/spreadsheets/d/1MeEWN-I1oV_STSDYn1IFDPWt_1FKiwhDph83XaGc0o0/edit?usp=sharing"",""งบพรบ!DS59"")"),206800)</f>
        <v>206800</v>
      </c>
      <c r="M303" s="90">
        <f ca="1">IFERROR(__xludf.DUMMYFUNCTION("IMPORTRANGE(""https://docs.google.com/spreadsheets/d/1MeEWN-I1oV_STSDYn1IFDPWt_1FKiwhDph83XaGc0o0/edit?usp=sharing"",""งบพรบ!DX59"")"),102840)</f>
        <v>102840</v>
      </c>
      <c r="N303" s="90">
        <f ca="1">IFERROR(__xludf.DUMMYFUNCTION("IMPORTRANGE(""https://docs.google.com/spreadsheets/d/1MeEWN-I1oV_STSDYn1IFDPWt_1FKiwhDph83XaGc0o0/edit?usp=sharing"",""งบพรบ!DZ59"")"),12132)</f>
        <v>12132</v>
      </c>
      <c r="O303" s="90">
        <f t="shared" ca="1" si="135"/>
        <v>5.8665377176015472</v>
      </c>
      <c r="P303" s="90">
        <f t="shared" ca="1" si="136"/>
        <v>11.796966161026837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IFERROR(__xludf.DUMMYFUNCTION("IMPORTRANGE(""https://docs.google.com/spreadsheets/d/1MeEWN-I1oV_STSDYn1IFDPWt_1FKiwhDph83XaGc0o0/edit?usp=sharing"",""งบพรบ!DV59"")"),0)</f>
        <v>0</v>
      </c>
      <c r="M306" s="90">
        <f ca="1">IFERROR(__xludf.DUMMYFUNCTION("IMPORTRANGE(""https://docs.google.com/spreadsheets/d/1MeEWN-I1oV_STSDYn1IFDPWt_1FKiwhDph83XaGc0o0/edit?usp=sharing"",""งบพรบ!DY59"")"),0)</f>
        <v>0</v>
      </c>
      <c r="N306" s="90">
        <f ca="1">IFERROR(__xludf.DUMMYFUNCTION("IMPORTRANGE(""https://docs.google.com/spreadsheets/d/1MeEWN-I1oV_STSDYn1IFDPWt_1FKiwhDph83XaGc0o0/edit?usp=sharing"",""งบพรบ!EA59"")"),0)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IFERROR(__xludf.DUMMYFUNCTION("IMPORTRANGE(""https://docs.google.com/spreadsheets/d/1QqKyyYR6Q21VydFLVH3TRQUabQu_ym0Zz7PgGX0-kHA/edit?usp=sharing"",""แผน!ED59"")"),15)</f>
        <v>15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IFERROR(__xludf.DUMMYFUNCTION("IMPORTRANGE(""https://docs.google.com/spreadsheets/d/1QqKyyYR6Q21VydFLVH3TRQUabQu_ym0Zz7PgGX0-kHA/edit?usp=sharing"",""แผน!ED59"")"),15)</f>
        <v>15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IFERROR(__xludf.DUMMYFUNCTION("IMPORTRANGE(""https://docs.google.com/spreadsheets/d/1QqKyyYR6Q21VydFLVH3TRQUabQu_ym0Zz7PgGX0-kHA/edit?usp=sharing"",""แผน!ED59"")"),15)</f>
        <v>15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IFERROR(__xludf.DUMMYFUNCTION("IMPORTRANGE(""https://docs.google.com/spreadsheets/d/1QqKyyYR6Q21VydFLVH3TRQUabQu_ym0Zz7PgGX0-kHA/edit?usp=sharing"",""แผน!EE59"")"),3)</f>
        <v>3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IFERROR(__xludf.DUMMYFUNCTION("IMPORTRANGE(""https://docs.google.com/spreadsheets/d/1MeEWN-I1oV_STSDYn1IFDPWt_1FKiwhDph83XaGc0o0/edit?usp=sharing"",""งบพรบ!EC59"")"),0)</f>
        <v>0</v>
      </c>
      <c r="M320" s="90">
        <f ca="1">IFERROR(__xludf.DUMMYFUNCTION("IMPORTRANGE(""https://docs.google.com/spreadsheets/d/1MeEWN-I1oV_STSDYn1IFDPWt_1FKiwhDph83XaGc0o0/edit?usp=sharing"",""งบพรบ!EH59"")"),0)</f>
        <v>0</v>
      </c>
      <c r="N320" s="90">
        <f ca="1">IFERROR(__xludf.DUMMYFUNCTION("IMPORTRANGE(""https://docs.google.com/spreadsheets/d/1MeEWN-I1oV_STSDYn1IFDPWt_1FKiwhDph83XaGc0o0/edit?usp=sharing"",""งบพรบ!EJ59"")"),0)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IFERROR(__xludf.DUMMYFUNCTION("IMPORTRANGE(""https://docs.google.com/spreadsheets/d/1MeEWN-I1oV_STSDYn1IFDPWt_1FKiwhDph83XaGc0o0/edit?usp=sharing"",""งบพรบ!EF59"")"),0)</f>
        <v>0</v>
      </c>
      <c r="M323" s="90">
        <f ca="1">IFERROR(__xludf.DUMMYFUNCTION("IMPORTRANGE(""https://docs.google.com/spreadsheets/d/1MeEWN-I1oV_STSDYn1IFDPWt_1FKiwhDph83XaGc0o0/edit?usp=sharing"",""งบพรบ!EI59"")"),0)</f>
        <v>0</v>
      </c>
      <c r="N323" s="90">
        <f ca="1">IFERROR(__xludf.DUMMYFUNCTION("IMPORTRANGE(""https://docs.google.com/spreadsheets/d/1MeEWN-I1oV_STSDYn1IFDPWt_1FKiwhDph83XaGc0o0/edit?usp=sharing"",""งบพรบ!EK59"")"),0)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IFERROR(__xludf.DUMMYFUNCTION("IMPORTRANGE(""https://docs.google.com/spreadsheets/d/1QqKyyYR6Q21VydFLVH3TRQUabQu_ym0Zz7PgGX0-kHA/edit?usp=sharing"",""แผน!EF59"")"),0)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IFERROR(__xludf.DUMMYFUNCTION("IMPORTRANGE(""https://docs.google.com/spreadsheets/d/1QqKyyYR6Q21VydFLVH3TRQUabQu_ym0Zz7PgGX0-kHA/edit?usp=sharing"",""แผน!EG59"")"),600)</f>
        <v>600</v>
      </c>
      <c r="J327" s="442">
        <f ca="1">J338+J341+J342+J343</f>
        <v>40</v>
      </c>
      <c r="K327" s="443">
        <f ca="1">IF(I327&gt;0,J327*100/I327,0)</f>
        <v>6.666666666666667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788200</v>
      </c>
      <c r="M328" s="151">
        <f t="shared" ca="1" si="148"/>
        <v>394100</v>
      </c>
      <c r="N328" s="151">
        <f t="shared" ca="1" si="148"/>
        <v>100285</v>
      </c>
      <c r="O328" s="151">
        <f t="shared" ref="O328:O336" ca="1" si="149">IF(L328&gt;0,N328*100/L328,0)</f>
        <v>12.723293580309566</v>
      </c>
      <c r="P328" s="151">
        <f t="shared" ref="P328:P336" ca="1" si="150">IF(M328&gt;0,N328*100/M328,0)</f>
        <v>25.446587160619131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788200</v>
      </c>
      <c r="M330" s="90">
        <f t="shared" ca="1" si="151"/>
        <v>394100</v>
      </c>
      <c r="N330" s="90">
        <f t="shared" ca="1" si="151"/>
        <v>100285</v>
      </c>
      <c r="O330" s="90">
        <f t="shared" ca="1" si="149"/>
        <v>12.723293580309566</v>
      </c>
      <c r="P330" s="90">
        <f t="shared" ca="1" si="150"/>
        <v>25.446587160619131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788200</v>
      </c>
      <c r="M331" s="495">
        <f t="shared" ca="1" si="152"/>
        <v>394100</v>
      </c>
      <c r="N331" s="495">
        <f t="shared" ca="1" si="152"/>
        <v>100285</v>
      </c>
      <c r="O331" s="495">
        <f t="shared" ca="1" si="149"/>
        <v>12.723293580309566</v>
      </c>
      <c r="P331" s="495">
        <f t="shared" ca="1" si="150"/>
        <v>25.446587160619131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IFERROR(__xludf.DUMMYFUNCTION("IMPORTRANGE(""https://docs.google.com/spreadsheets/d/1MeEWN-I1oV_STSDYn1IFDPWt_1FKiwhDph83XaGc0o0/edit?usp=sharing"",""งบพรบ!EM59"")"),788200)</f>
        <v>788200</v>
      </c>
      <c r="M333" s="90">
        <f ca="1">IFERROR(__xludf.DUMMYFUNCTION("IMPORTRANGE(""https://docs.google.com/spreadsheets/d/1MeEWN-I1oV_STSDYn1IFDPWt_1FKiwhDph83XaGc0o0/edit?usp=sharing"",""งบพรบ!ER59"")"),394100)</f>
        <v>394100</v>
      </c>
      <c r="N333" s="90">
        <f ca="1">IFERROR(__xludf.DUMMYFUNCTION("IMPORTRANGE(""https://docs.google.com/spreadsheets/d/1MeEWN-I1oV_STSDYn1IFDPWt_1FKiwhDph83XaGc0o0/edit?usp=sharing"",""งบพรบ!ET59"")"),100285)</f>
        <v>100285</v>
      </c>
      <c r="O333" s="90">
        <f t="shared" ca="1" si="149"/>
        <v>12.723293580309566</v>
      </c>
      <c r="P333" s="90">
        <f t="shared" ca="1" si="150"/>
        <v>25.446587160619131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IFERROR(__xludf.DUMMYFUNCTION("IMPORTRANGE(""https://docs.google.com/spreadsheets/d/1MeEWN-I1oV_STSDYn1IFDPWt_1FKiwhDph83XaGc0o0/edit?usp=sharing"",""งบพรบ!EP59"")"),0)</f>
        <v>0</v>
      </c>
      <c r="M336" s="90">
        <f ca="1">IFERROR(__xludf.DUMMYFUNCTION("IMPORTRANGE(""https://docs.google.com/spreadsheets/d/1MeEWN-I1oV_STSDYn1IFDPWt_1FKiwhDph83XaGc0o0/edit?usp=sharing"",""งบพรบ!ES59"")"),0)</f>
        <v>0</v>
      </c>
      <c r="N336" s="90">
        <f ca="1">IFERROR(__xludf.DUMMYFUNCTION("IMPORTRANGE(""https://docs.google.com/spreadsheets/d/1MeEWN-I1oV_STSDYn1IFDPWt_1FKiwhDph83XaGc0o0/edit?usp=sharing"",""งบพรบ!EU59"")"),0)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IFERROR(__xludf.DUMMYFUNCTION("IMPORTRANGE(""https://docs.google.com/spreadsheets/d/1QqKyyYR6Q21VydFLVH3TRQUabQu_ym0Zz7PgGX0-kHA/edit?usp=sharing"",""แผน!EG59"")"),600)</f>
        <v>600</v>
      </c>
      <c r="J338" s="264">
        <f ca="1">IFERROR(__xludf.DUMMYFUNCTION("IMPORTRANGE(""https://docs.google.com/spreadsheets/d/1kVcqe37tkHyjCSG3S0O1AXqVkqjo8mSIZil3BcpIysc/edit?usp=sharing"",""ศูนย์!D59"")"),40)</f>
        <v>40</v>
      </c>
      <c r="K338" s="495">
        <f ca="1">IF(I338&gt;0,J338*100/I338,0)</f>
        <v>6.666666666666667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IFERROR(__xludf.DUMMYFUNCTION("IMPORTRANGE(""https://docs.google.com/spreadsheets/d/1QqKyyYR6Q21VydFLVH3TRQUabQu_ym0Zz7PgGX0-kHA/edit?usp=sharing"",""แผน!EH59"")"),2)</f>
        <v>2</v>
      </c>
      <c r="J340" s="264">
        <f ca="1">IFERROR(__xludf.DUMMYFUNCTION("IMPORTRANGE(""https://docs.google.com/spreadsheets/d/1kVcqe37tkHyjCSG3S0O1AXqVkqjo8mSIZil3BcpIysc/edit?usp=sharing"",""ศูนย์!E59"")"),0)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IFERROR(__xludf.DUMMYFUNCTION("IMPORTRANGE(""https://docs.google.com/spreadsheets/d/1kVcqe37tkHyjCSG3S0O1AXqVkqjo8mSIZil3BcpIysc/edit?usp=sharing"",""ศูนย์!F59"")"),0)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IFERROR(__xludf.DUMMYFUNCTION("IMPORTRANGE(""https://docs.google.com/spreadsheets/d/1kVcqe37tkHyjCSG3S0O1AXqVkqjo8mSIZil3BcpIysc/edit?usp=sharing"",""ศูนย์!G59"")"),0)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IFERROR(__xludf.DUMMYFUNCTION("IMPORTRANGE(""https://docs.google.com/spreadsheets/d/1kVcqe37tkHyjCSG3S0O1AXqVkqjo8mSIZil3BcpIysc/edit?usp=sharing"",""ศูนย์!H59"")"),0)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374080</v>
      </c>
      <c r="M345" s="151">
        <f t="shared" ca="1" si="154"/>
        <v>273740</v>
      </c>
      <c r="N345" s="151">
        <f t="shared" ca="1" si="154"/>
        <v>186400</v>
      </c>
      <c r="O345" s="151">
        <f t="shared" ref="O345:O353" ca="1" si="155">IF(L345&gt;0,N345*100/L345,0)</f>
        <v>49.82891360136869</v>
      </c>
      <c r="P345" s="151">
        <f t="shared" ref="P345:P353" ca="1" si="156">IF(M345&gt;0,N345*100/M345,0)</f>
        <v>68.093811646087531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374080</v>
      </c>
      <c r="M347" s="90">
        <f t="shared" ca="1" si="157"/>
        <v>273740</v>
      </c>
      <c r="N347" s="90">
        <f t="shared" ca="1" si="157"/>
        <v>186400</v>
      </c>
      <c r="O347" s="90">
        <f t="shared" ca="1" si="155"/>
        <v>49.82891360136869</v>
      </c>
      <c r="P347" s="90">
        <f t="shared" ca="1" si="156"/>
        <v>68.093811646087531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200680</v>
      </c>
      <c r="M348" s="495">
        <f t="shared" ca="1" si="158"/>
        <v>100340</v>
      </c>
      <c r="N348" s="495">
        <f t="shared" ca="1" si="158"/>
        <v>13000</v>
      </c>
      <c r="O348" s="495">
        <f t="shared" ca="1" si="155"/>
        <v>6.477974885389675</v>
      </c>
      <c r="P348" s="495">
        <f t="shared" ca="1" si="156"/>
        <v>12.95594977077935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IFERROR(__xludf.DUMMYFUNCTION("IMPORTRANGE(""https://docs.google.com/spreadsheets/d/1MeEWN-I1oV_STSDYn1IFDPWt_1FKiwhDph83XaGc0o0/edit?usp=sharing"",""งบพรบ!EW59"")"),200680)</f>
        <v>200680</v>
      </c>
      <c r="M350" s="90">
        <f ca="1">IFERROR(__xludf.DUMMYFUNCTION("IMPORTRANGE(""https://docs.google.com/spreadsheets/d/1MeEWN-I1oV_STSDYn1IFDPWt_1FKiwhDph83XaGc0o0/edit?usp=sharing"",""งบพรบ!FB59"")"),100340)</f>
        <v>100340</v>
      </c>
      <c r="N350" s="90">
        <f ca="1">IFERROR(__xludf.DUMMYFUNCTION("IMPORTRANGE(""https://docs.google.com/spreadsheets/d/1MeEWN-I1oV_STSDYn1IFDPWt_1FKiwhDph83XaGc0o0/edit?usp=sharing"",""งบพรบ!FD59"")"),13000)</f>
        <v>13000</v>
      </c>
      <c r="O350" s="90">
        <f t="shared" ca="1" si="155"/>
        <v>6.477974885389675</v>
      </c>
      <c r="P350" s="90">
        <f t="shared" ca="1" si="156"/>
        <v>12.95594977077935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173400</v>
      </c>
      <c r="M351" s="495">
        <f t="shared" ca="1" si="159"/>
        <v>173400</v>
      </c>
      <c r="N351" s="495">
        <f t="shared" ca="1" si="159"/>
        <v>173400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IFERROR(__xludf.DUMMYFUNCTION("IMPORTRANGE(""https://docs.google.com/spreadsheets/d/1MeEWN-I1oV_STSDYn1IFDPWt_1FKiwhDph83XaGc0o0/edit?usp=sharing"",""งบพรบ!EZ59"")"),173400)</f>
        <v>173400</v>
      </c>
      <c r="M353" s="90">
        <f ca="1">IFERROR(__xludf.DUMMYFUNCTION("IMPORTRANGE(""https://docs.google.com/spreadsheets/d/1MeEWN-I1oV_STSDYn1IFDPWt_1FKiwhDph83XaGc0o0/edit?usp=sharing"",""งบพรบ!FC59"")"),173400)</f>
        <v>173400</v>
      </c>
      <c r="N353" s="90">
        <f ca="1">IFERROR(__xludf.DUMMYFUNCTION("IMPORTRANGE(""https://docs.google.com/spreadsheets/d/1MeEWN-I1oV_STSDYn1IFDPWt_1FKiwhDph83XaGc0o0/edit?usp=sharing"",""งบพรบ!FE59"")"),173400)</f>
        <v>173400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IFERROR(__xludf.DUMMYFUNCTION("IMPORTRANGE(""https://docs.google.com/spreadsheets/d/1QqKyyYR6Q21VydFLVH3TRQUabQu_ym0Zz7PgGX0-kHA/edit?usp=sharing"",""แผน!EP59"")"),0)</f>
        <v>0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IFERROR(__xludf.DUMMYFUNCTION("IMPORTRANGE(""https://docs.google.com/spreadsheets/d/1XWAQStnk-4SwqDmLtmXYiTMKHgktTP8We1SCoS47DrQ/edit?usp=sharing"",""จัดที่ดิน!W59"")"),0)</f>
        <v>0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IFERROR(__xludf.DUMMYFUNCTION("IMPORTRANGE(""https://docs.google.com/spreadsheets/d/1QqKyyYR6Q21VydFLVH3TRQUabQu_ym0Zz7PgGX0-kHA/edit?usp=sharing"",""แผน!EO59"")"),0)</f>
        <v>0</v>
      </c>
      <c r="J359" s="264">
        <f ca="1">IFERROR(__xludf.DUMMYFUNCTION("IMPORTRANGE(""https://docs.google.com/spreadsheets/d/1XWAQStnk-4SwqDmLtmXYiTMKHgktTP8We1SCoS47DrQ/edit?usp=sharing"",""จัดที่ดิน!X59"")"),0)</f>
        <v>0</v>
      </c>
      <c r="K359" s="495">
        <f t="shared" ca="1" si="160"/>
        <v>0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IFERROR(__xludf.DUMMYFUNCTION("IMPORTRANGE(""https://docs.google.com/spreadsheets/d/1QqKyyYR6Q21VydFLVH3TRQUabQu_ym0Zz7PgGX0-kHA/edit?usp=sharing"",""แผน!EP59"")"),0)</f>
        <v>0</v>
      </c>
      <c r="J360" s="264">
        <f ca="1">IFERROR(__xludf.DUMMYFUNCTION("IMPORTRANGE(""https://docs.google.com/spreadsheets/d/1XWAQStnk-4SwqDmLtmXYiTMKHgktTP8We1SCoS47DrQ/edit?usp=sharing"",""จัดที่ดิน!Y59"")"),0)</f>
        <v>0</v>
      </c>
      <c r="K360" s="495">
        <f t="shared" ca="1" si="160"/>
        <v>0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IFERROR(__xludf.DUMMYFUNCTION("IMPORTRANGE(""https://docs.google.com/spreadsheets/d/1XWAQStnk-4SwqDmLtmXYiTMKHgktTP8We1SCoS47DrQ/edit?usp=sharing"",""จัดที่ดิน!Z59"")"),0)</f>
        <v>0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IFERROR(__xludf.DUMMYFUNCTION("IMPORTRANGE(""https://docs.google.com/spreadsheets/d/1QqKyyYR6Q21VydFLVH3TRQUabQu_ym0Zz7PgGX0-kHA/edit?usp=sharing"",""แผน!EP59"")"),0)</f>
        <v>0</v>
      </c>
      <c r="J362" s="264">
        <f ca="1">IFERROR(__xludf.DUMMYFUNCTION("IMPORTRANGE(""https://docs.google.com/spreadsheets/d/1XWAQStnk-4SwqDmLtmXYiTMKHgktTP8We1SCoS47DrQ/edit?usp=sharing"",""จัดที่ดิน!AA59"")"),0)</f>
        <v>0</v>
      </c>
      <c r="K362" s="495">
        <f t="shared" ca="1" si="160"/>
        <v>0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IFERROR(__xludf.DUMMYFUNCTION("IMPORTRANGE(""https://docs.google.com/spreadsheets/d/1XWAQStnk-4SwqDmLtmXYiTMKHgktTP8We1SCoS47DrQ/edit?usp=sharing"",""จัดที่ดิน!AB59"")"),0)</f>
        <v>0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25</v>
      </c>
      <c r="J364" s="476">
        <f t="shared" ca="1" si="161"/>
        <v>0</v>
      </c>
      <c r="K364" s="477">
        <f t="shared" ca="1" si="160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IFERROR(__xludf.DUMMYFUNCTION("IMPORTRANGE(""https://docs.google.com/spreadsheets/d/1QqKyyYR6Q21VydFLVH3TRQUabQu_ym0Zz7PgGX0-kHA/edit?usp=sharing"",""แผน!EJ59"")"),0)</f>
        <v>0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IFERROR(__xludf.DUMMYFUNCTION("IMPORTRANGE(""https://docs.google.com/spreadsheets/d/1XWAQStnk-4SwqDmLtmXYiTMKHgktTP8We1SCoS47DrQ/edit?usp=sharing"",""จัดที่ดิน!E59"")"),0)</f>
        <v>0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IFERROR(__xludf.DUMMYFUNCTION("IMPORTRANGE(""https://docs.google.com/spreadsheets/d/1QqKyyYR6Q21VydFLVH3TRQUabQu_ym0Zz7PgGX0-kHA/edit?usp=sharing"",""แผน!EI59"")"),0)</f>
        <v>0</v>
      </c>
      <c r="J369" s="264">
        <f ca="1">IFERROR(__xludf.DUMMYFUNCTION("IMPORTRANGE(""https://docs.google.com/spreadsheets/d/1XWAQStnk-4SwqDmLtmXYiTMKHgktTP8We1SCoS47DrQ/edit?usp=sharing"",""จัดที่ดิน!F59"")"),0)</f>
        <v>0</v>
      </c>
      <c r="K369" s="495">
        <f t="shared" ca="1" si="162"/>
        <v>0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IFERROR(__xludf.DUMMYFUNCTION("IMPORTRANGE(""https://docs.google.com/spreadsheets/d/1QqKyyYR6Q21VydFLVH3TRQUabQu_ym0Zz7PgGX0-kHA/edit?usp=sharing"",""แผน!EJ59"")"),0)</f>
        <v>0</v>
      </c>
      <c r="J370" s="264">
        <f ca="1">IFERROR(__xludf.DUMMYFUNCTION("IMPORTRANGE(""https://docs.google.com/spreadsheets/d/1XWAQStnk-4SwqDmLtmXYiTMKHgktTP8We1SCoS47DrQ/edit?usp=sharing"",""จัดที่ดิน!G59"")"),0)</f>
        <v>0</v>
      </c>
      <c r="K370" s="495">
        <f t="shared" ca="1" si="162"/>
        <v>0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IFERROR(__xludf.DUMMYFUNCTION("IMPORTRANGE(""https://docs.google.com/spreadsheets/d/1XWAQStnk-4SwqDmLtmXYiTMKHgktTP8We1SCoS47DrQ/edit?usp=sharing"",""จัดที่ดิน!H59"")"),0)</f>
        <v>0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IFERROR(__xludf.DUMMYFUNCTION("IMPORTRANGE(""https://docs.google.com/spreadsheets/d/1QqKyyYR6Q21VydFLVH3TRQUabQu_ym0Zz7PgGX0-kHA/edit?usp=sharing"",""แผน!EJ59"")"),0)</f>
        <v>0</v>
      </c>
      <c r="J372" s="264">
        <f ca="1">IFERROR(__xludf.DUMMYFUNCTION("IMPORTRANGE(""https://docs.google.com/spreadsheets/d/1XWAQStnk-4SwqDmLtmXYiTMKHgktTP8We1SCoS47DrQ/edit?usp=sharing"",""จัดที่ดิน!I59"")"),0)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IFERROR(__xludf.DUMMYFUNCTION("IMPORTRANGE(""https://docs.google.com/spreadsheets/d/1XWAQStnk-4SwqDmLtmXYiTMKHgktTP8We1SCoS47DrQ/edit?usp=sharing"",""จัดที่ดิน!J59"")"),0)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IFERROR(__xludf.DUMMYFUNCTION("IMPORTRANGE(""https://docs.google.com/spreadsheets/d/1QqKyyYR6Q21VydFLVH3TRQUabQu_ym0Zz7PgGX0-kHA/edit?usp=sharing"",""แผน!EU59"")"),25)</f>
        <v>25</v>
      </c>
      <c r="J374" s="488">
        <f ca="1">J381</f>
        <v>0</v>
      </c>
      <c r="K374" s="489">
        <f t="shared" ca="1" si="162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IFERROR(__xludf.DUMMYFUNCTION("IMPORTRANGE(""https://docs.google.com/spreadsheets/d/1XWAQStnk-4SwqDmLtmXYiTMKHgktTP8We1SCoS47DrQ/edit?usp=sharing"",""จัดที่ดิน!AH59"")"),0)</f>
        <v>0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IFERROR(__xludf.DUMMYFUNCTION("IMPORTRANGE(""https://docs.google.com/spreadsheets/d/1QqKyyYR6Q21VydFLVH3TRQUabQu_ym0Zz7PgGX0-kHA/edit?usp=sharing"",""แผน!ET59"")"),0)</f>
        <v>0</v>
      </c>
      <c r="J378" s="264">
        <f ca="1">IFERROR(__xludf.DUMMYFUNCTION("IMPORTRANGE(""https://docs.google.com/spreadsheets/d/1XWAQStnk-4SwqDmLtmXYiTMKHgktTP8We1SCoS47DrQ/edit?usp=sharing"",""จัดที่ดิน!AI59"")"),0)</f>
        <v>0</v>
      </c>
      <c r="K378" s="495">
        <f t="shared" ca="1" si="163"/>
        <v>0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IFERROR(__xludf.DUMMYFUNCTION("IMPORTRANGE(""https://docs.google.com/spreadsheets/d/1QqKyyYR6Q21VydFLVH3TRQUabQu_ym0Zz7PgGX0-kHA/edit?usp=sharing"",""แผน!EU59"")"),25)</f>
        <v>25</v>
      </c>
      <c r="J379" s="264">
        <f ca="1">IFERROR(__xludf.DUMMYFUNCTION("IMPORTRANGE(""https://docs.google.com/spreadsheets/d/1XWAQStnk-4SwqDmLtmXYiTMKHgktTP8We1SCoS47DrQ/edit?usp=sharing"",""จัดที่ดิน!AJ59"")"),0)</f>
        <v>0</v>
      </c>
      <c r="K379" s="495">
        <f t="shared" ca="1" si="163"/>
        <v>0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IFERROR(__xludf.DUMMYFUNCTION("IMPORTRANGE(""https://docs.google.com/spreadsheets/d/1XWAQStnk-4SwqDmLtmXYiTMKHgktTP8We1SCoS47DrQ/edit?usp=sharing"",""จัดที่ดิน!AK59"")"),0)</f>
        <v>0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IFERROR(__xludf.DUMMYFUNCTION("IMPORTRANGE(""https://docs.google.com/spreadsheets/d/1QqKyyYR6Q21VydFLVH3TRQUabQu_ym0Zz7PgGX0-kHA/edit?usp=sharing"",""แผน!EU59"")"),25)</f>
        <v>25</v>
      </c>
      <c r="J381" s="264">
        <f ca="1">IFERROR(__xludf.DUMMYFUNCTION("IMPORTRANGE(""https://docs.google.com/spreadsheets/d/1XWAQStnk-4SwqDmLtmXYiTMKHgktTP8We1SCoS47DrQ/edit?usp=sharing"",""จัดที่ดิน!AL59"")"),0)</f>
        <v>0</v>
      </c>
      <c r="K381" s="495">
        <f t="shared" ca="1" si="163"/>
        <v>0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IFERROR(__xludf.DUMMYFUNCTION("IMPORTRANGE(""https://docs.google.com/spreadsheets/d/1XWAQStnk-4SwqDmLtmXYiTMKHgktTP8We1SCoS47DrQ/edit?usp=sharing"",""จัดที่ดิน!AM59"")"),0)</f>
        <v>0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IFERROR(__xludf.DUMMYFUNCTION("IMPORTRANGE(""https://docs.google.com/spreadsheets/d/1QqKyyYR6Q21VydFLVH3TRQUabQu_ym0Zz7PgGX0-kHA/edit?usp=sharing"",""แผน!EW59"")"),5)</f>
        <v>5</v>
      </c>
      <c r="J385" s="498">
        <f ca="1">IFERROR(__xludf.DUMMYFUNCTION("IMPORTRANGE(""https://docs.google.com/spreadsheets/d/1XWAQStnk-4SwqDmLtmXYiTMKHgktTP8We1SCoS47DrQ/edit?usp=sharing"",""จัดที่ดิน!AP59"")"),0)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IFERROR(__xludf.DUMMYFUNCTION("IMPORTRANGE(""https://docs.google.com/spreadsheets/d/1MeEWN-I1oV_STSDYn1IFDPWt_1FKiwhDph83XaGc0o0/edit?usp=sharing"",""งบพรบ!FG59"")"),0)</f>
        <v>0</v>
      </c>
      <c r="M394" s="90">
        <f ca="1">IFERROR(__xludf.DUMMYFUNCTION("IMPORTRANGE(""https://docs.google.com/spreadsheets/d/1MeEWN-I1oV_STSDYn1IFDPWt_1FKiwhDph83XaGc0o0/edit?usp=sharing"",""งบพรบ!FL59"")"),0)</f>
        <v>0</v>
      </c>
      <c r="N394" s="90">
        <f ca="1">IFERROR(__xludf.DUMMYFUNCTION("IMPORTRANGE(""https://docs.google.com/spreadsheets/d/1MeEWN-I1oV_STSDYn1IFDPWt_1FKiwhDph83XaGc0o0/edit?usp=sharing"",""งบพรบ!FN59"")"),0)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IFERROR(__xludf.DUMMYFUNCTION("IMPORTRANGE(""https://docs.google.com/spreadsheets/d/1MeEWN-I1oV_STSDYn1IFDPWt_1FKiwhDph83XaGc0o0/edit?usp=sharing"",""งบพรบ!FJ59"")"),0)</f>
        <v>0</v>
      </c>
      <c r="M397" s="90">
        <f ca="1">IFERROR(__xludf.DUMMYFUNCTION("IMPORTRANGE(""https://docs.google.com/spreadsheets/d/1MeEWN-I1oV_STSDYn1IFDPWt_1FKiwhDph83XaGc0o0/edit?usp=sharing"",""งบพรบ!FM59"")"),0)</f>
        <v>0</v>
      </c>
      <c r="N397" s="90">
        <f ca="1">IFERROR(__xludf.DUMMYFUNCTION("IMPORTRANGE(""https://docs.google.com/spreadsheets/d/1MeEWN-I1oV_STSDYn1IFDPWt_1FKiwhDph83XaGc0o0/edit?usp=sharing"",""งบพรบ!FO59"")"),0)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IFERROR(__xludf.DUMMYFUNCTION("IMPORTRANGE(""https://docs.google.com/spreadsheets/d/1MeEWN-I1oV_STSDYn1IFDPWt_1FKiwhDph83XaGc0o0/edit?usp=sharing"",""งบพรบ!FQ59"")"),0)</f>
        <v>0</v>
      </c>
      <c r="M407" s="90">
        <f ca="1">IFERROR(__xludf.DUMMYFUNCTION("IMPORTRANGE(""https://docs.google.com/spreadsheets/d/1MeEWN-I1oV_STSDYn1IFDPWt_1FKiwhDph83XaGc0o0/edit?usp=sharing"",""งบพรบ!FV59"")"),0)</f>
        <v>0</v>
      </c>
      <c r="N407" s="90">
        <f ca="1">IFERROR(__xludf.DUMMYFUNCTION("IMPORTRANGE(""https://docs.google.com/spreadsheets/d/1MeEWN-I1oV_STSDYn1IFDPWt_1FKiwhDph83XaGc0o0/edit?usp=sharing"",""งบพรบ!FX59"")"),0)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IFERROR(__xludf.DUMMYFUNCTION("IMPORTRANGE(""https://docs.google.com/spreadsheets/d/1MeEWN-I1oV_STSDYn1IFDPWt_1FKiwhDph83XaGc0o0/edit?usp=sharing"",""งบพรบ!FT59"")"),0)</f>
        <v>0</v>
      </c>
      <c r="M410" s="90">
        <f ca="1">IFERROR(__xludf.DUMMYFUNCTION("IMPORTRANGE(""https://docs.google.com/spreadsheets/d/1MeEWN-I1oV_STSDYn1IFDPWt_1FKiwhDph83XaGc0o0/edit?usp=sharing"",""งบพรบ!FW59"")"),0)</f>
        <v>0</v>
      </c>
      <c r="N410" s="90">
        <f ca="1">IFERROR(__xludf.DUMMYFUNCTION("IMPORTRANGE(""https://docs.google.com/spreadsheets/d/1MeEWN-I1oV_STSDYn1IFDPWt_1FKiwhDph83XaGc0o0/edit?usp=sharing"",""งบพรบ!FY59"")"),0)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469210</v>
      </c>
      <c r="M414" s="546">
        <f t="shared" si="180"/>
        <v>0</v>
      </c>
      <c r="N414" s="546">
        <f t="shared" si="180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90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2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271030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271030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271030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IFERROR(__xludf.DUMMYFUNCTION("IMPORTRANGE(""https://docs.google.com/spreadsheets/d/1QqKyyYR6Q21VydFLVH3TRQUabQu_ym0Zz7PgGX0-kHA/edit?usp=sharing"",""แผน!EY59"")"),271030)</f>
        <v>271030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IFERROR(__xludf.DUMMYFUNCTION("IMPORTRANGE(""https://docs.google.com/spreadsheets/d/1QqKyyYR6Q21VydFLVH3TRQUabQu_ym0Zz7PgGX0-kHA/edit?usp=sharing"",""แผน!FB59"")"),0)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90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2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IFERROR(__xludf.DUMMYFUNCTION("IMPORTRANGE(""https://docs.google.com/spreadsheets/d/1QqKyyYR6Q21VydFLVH3TRQUabQu_ym0Zz7PgGX0-kHA/edit?usp=sharing"",""แผน!FC59"")"),90)</f>
        <v>90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IFERROR(__xludf.DUMMYFUNCTION("IMPORTRANGE(""https://docs.google.com/spreadsheets/d/1QqKyyYR6Q21VydFLVH3TRQUabQu_ym0Zz7PgGX0-kHA/edit?usp=sharing"",""แผน!FD59"")"),70)</f>
        <v>70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IFERROR(__xludf.DUMMYFUNCTION("IMPORTRANGE(""https://docs.google.com/spreadsheets/d/1QqKyyYR6Q21VydFLVH3TRQUabQu_ym0Zz7PgGX0-kHA/edit?usp=sharing"",""แผน!FE59"")"),1)</f>
        <v>1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IFERROR(__xludf.DUMMYFUNCTION("IMPORTRANGE(""https://docs.google.com/spreadsheets/d/1QqKyyYR6Q21VydFLVH3TRQUabQu_ym0Zz7PgGX0-kHA/edit?usp=sharing"",""แผน!FF59"")"),20)</f>
        <v>20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IFERROR(__xludf.DUMMYFUNCTION("IMPORTRANGE(""https://docs.google.com/spreadsheets/d/1QqKyyYR6Q21VydFLVH3TRQUabQu_ym0Zz7PgGX0-kHA/edit?usp=sharing"",""แผน!FG59"")"),1)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IFERROR(__xludf.DUMMYFUNCTION("IMPORTRANGE(""https://docs.google.com/spreadsheets/d/1QqKyyYR6Q21VydFLVH3TRQUabQu_ym0Zz7PgGX0-kHA/edit?usp=sharing"",""แผน!FH59"")"),0)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10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20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70060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70060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70060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IFERROR(__xludf.DUMMYFUNCTION("IMPORTRANGE(""https://docs.google.com/spreadsheets/d/1QqKyyYR6Q21VydFLVH3TRQUabQu_ym0Zz7PgGX0-kHA/edit?usp=sharing"",""แผน!FJ59"")"),70060)</f>
        <v>70060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IFERROR(__xludf.DUMMYFUNCTION("IMPORTRANGE(""https://docs.google.com/spreadsheets/d/1QqKyyYR6Q21VydFLVH3TRQUabQu_ym0Zz7PgGX0-kHA/edit?usp=sharing"",""แผน!FM59"")"),0)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IFERROR(__xludf.DUMMYFUNCTION("IMPORTRANGE(""https://docs.google.com/spreadsheets/d/1QqKyyYR6Q21VydFLVH3TRQUabQu_ym0Zz7PgGX0-kHA/edit?usp=sharing"",""แผน!FN59"")"),10)</f>
        <v>10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IFERROR(__xludf.DUMMYFUNCTION("IMPORTRANGE(""https://docs.google.com/spreadsheets/d/1QqKyyYR6Q21VydFLVH3TRQUabQu_ym0Zz7PgGX0-kHA/edit?usp=sharing"",""แผน!FO59"")"),20)</f>
        <v>20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IFERROR(__xludf.DUMMYFUNCTION("IMPORTRANGE(""https://docs.google.com/spreadsheets/d/1QqKyyYR6Q21VydFLVH3TRQUabQu_ym0Zz7PgGX0-kHA/edit?usp=sharing"",""แผน!FO59"")"),20)</f>
        <v>20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IFERROR(__xludf.DUMMYFUNCTION("IMPORTRANGE(""https://docs.google.com/spreadsheets/d/1QqKyyYR6Q21VydFLVH3TRQUabQu_ym0Zz7PgGX0-kHA/edit?usp=sharing"",""แผน!FN59"")"),10)</f>
        <v>10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 hidden="1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IFERROR(__xludf.DUMMYFUNCTION("IMPORTRANGE(""https://docs.google.com/spreadsheets/d/1QqKyyYR6Q21VydFLVH3TRQUabQu_ym0Zz7PgGX0-kHA/edit?usp=sharing"",""แผน!FX59"")"),0)</f>
        <v>0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 hidden="1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IFERROR(__xludf.DUMMYFUNCTION("IMPORTRANGE(""https://docs.google.com/spreadsheets/d/1QqKyyYR6Q21VydFLVH3TRQUabQu_ym0Zz7PgGX0-kHA/edit?usp=sharing"",""แผน!FW59"")"),0)</f>
        <v>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 hidden="1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0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0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 hidden="1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0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IFERROR(__xludf.DUMMYFUNCTION("IMPORTRANGE(""https://docs.google.com/spreadsheets/d/1QqKyyYR6Q21VydFLVH3TRQUabQu_ym0Zz7PgGX0-kHA/edit?usp=sharing"",""แผน!FS59"")"),0)</f>
        <v>0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 hidden="1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 hidden="1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 hidden="1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 hidden="1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 hidden="1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IFERROR(__xludf.DUMMYFUNCTION("IMPORTRANGE(""https://docs.google.com/spreadsheets/d/1QqKyyYR6Q21VydFLVH3TRQUabQu_ym0Zz7PgGX0-kHA/edit?usp=sharing"",""แผน!FV59"")"),0)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 hidden="1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 hidden="1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 hidden="1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 hidden="1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IFERROR(__xludf.DUMMYFUNCTION("IMPORTRANGE(""https://docs.google.com/spreadsheets/d/1QqKyyYR6Q21VydFLVH3TRQUabQu_ym0Zz7PgGX0-kHA/edit?usp=sharing"",""แผน!FY59"")"),0)</f>
        <v>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 hidden="1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 hidden="1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IFERROR(__xludf.DUMMYFUNCTION("IMPORTRANGE(""https://docs.google.com/spreadsheets/d/1QqKyyYR6Q21VydFLVH3TRQUabQu_ym0Zz7PgGX0-kHA/edit?usp=sharing"",""แผน!FZ59"")"),0)</f>
        <v>0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 hidden="1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 hidden="1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IFERROR(__xludf.DUMMYFUNCTION("IMPORTRANGE(""https://docs.google.com/spreadsheets/d/1QqKyyYR6Q21VydFLVH3TRQUabQu_ym0Zz7PgGX0-kHA/edit?usp=sharing"",""แผน!GA59"")"),0)</f>
        <v>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 hidden="1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 hidden="1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IFERROR(__xludf.DUMMYFUNCTION("IMPORTRANGE(""https://docs.google.com/spreadsheets/d/1QqKyyYR6Q21VydFLVH3TRQUabQu_ym0Zz7PgGX0-kHA/edit?usp=sharing"",""แผน!GB59"")"),0)</f>
        <v>0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 hidden="1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 hidden="1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 hidden="1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IFERROR(__xludf.DUMMYFUNCTION("IMPORTRANGE(""https://docs.google.com/spreadsheets/d/1QqKyyYR6Q21VydFLVH3TRQUabQu_ym0Zz7PgGX0-kHA/edit?usp=sharing"",""แผน!GC59"")"),0)</f>
        <v>0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 hidden="1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 hidden="1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 hidden="1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IFERROR(__xludf.DUMMYFUNCTION("IMPORTRANGE(""https://docs.google.com/spreadsheets/d/1QqKyyYR6Q21VydFLVH3TRQUabQu_ym0Zz7PgGX0-kHA/edit?usp=sharing"",""แผน!FY59"")"),0)</f>
        <v>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 hidden="1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 hidden="1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 hidden="1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IFERROR(__xludf.DUMMYFUNCTION("IMPORTRANGE(""https://docs.google.com/spreadsheets/d/1QqKyyYR6Q21VydFLVH3TRQUabQu_ym0Zz7PgGX0-kHA/edit?usp=sharing"",""แผน!GA59"")"),0)</f>
        <v>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 hidden="1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IFERROR(__xludf.DUMMYFUNCTION("IMPORTRANGE(""https://docs.google.com/spreadsheets/d/1QqKyyYR6Q21VydFLVH3TRQUabQu_ym0Zz7PgGX0-kHA/edit?usp=sharing"",""แผน!GQ59"")"),0)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IFERROR(__xludf.DUMMYFUNCTION("IMPORTRANGE(""https://docs.google.com/spreadsheets/d/1QqKyyYR6Q21VydFLVH3TRQUabQu_ym0Zz7PgGX0-kHA/edit?usp=sharing"",""แผน!GT59"")"),0)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IFERROR(__xludf.DUMMYFUNCTION("IMPORTRANGE(""https://docs.google.com/spreadsheets/d/1QqKyyYR6Q21VydFLVH3TRQUabQu_ym0Zz7PgGX0-kHA/edit?usp=sharing"",""แผน!GU59"")"),0)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IFERROR(__xludf.DUMMYFUNCTION("IMPORTRANGE(""https://docs.google.com/spreadsheets/d/1QqKyyYR6Q21VydFLVH3TRQUabQu_ym0Zz7PgGX0-kHA/edit?usp=sharing"",""แผน!GV59"")"),0)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IFERROR(__xludf.DUMMYFUNCTION("IMPORTRANGE(""https://docs.google.com/spreadsheets/d/1QqKyyYR6Q21VydFLVH3TRQUabQu_ym0Zz7PgGX0-kHA/edit?usp=sharing"",""แผน!GW59"")"),0)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IFERROR(__xludf.DUMMYFUNCTION("IMPORTRANGE(""https://docs.google.com/spreadsheets/d/1QqKyyYR6Q21VydFLVH3TRQUabQu_ym0Zz7PgGX0-kHA/edit?usp=sharing"",""แผน!GX59"")"),0)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IFERROR(__xludf.DUMMYFUNCTION("IMPORTRANGE(""https://docs.google.com/spreadsheets/d/1QqKyyYR6Q21VydFLVH3TRQUabQu_ym0Zz7PgGX0-kHA/edit?usp=sharing"",""แผน!GY59"")"),0)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IFERROR(__xludf.DUMMYFUNCTION("IMPORTRANGE(""https://docs.google.com/spreadsheets/d/1QqKyyYR6Q21VydFLVH3TRQUabQu_ym0Zz7PgGX0-kHA/edit?usp=sharing"",""แผน!GZ59"")"),0)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66000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66000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66000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IFERROR(__xludf.DUMMYFUNCTION("IMPORTRANGE(""https://docs.google.com/spreadsheets/d/1QqKyyYR6Q21VydFLVH3TRQUabQu_ym0Zz7PgGX0-kHA/edit?usp=sharing"",""แผน!HB59"")"),66000)</f>
        <v>66000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IFERROR(__xludf.DUMMYFUNCTION("IMPORTRANGE(""https://docs.google.com/spreadsheets/d/1QqKyyYR6Q21VydFLVH3TRQUabQu_ym0Zz7PgGX0-kHA/edit?usp=sharing"",""แผน!HF59"")"),0)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IFERROR(__xludf.DUMMYFUNCTION("IMPORTRANGE(""https://docs.google.com/spreadsheets/d/1QqKyyYR6Q21VydFLVH3TRQUabQu_ym0Zz7PgGX0-kHA/edit?usp=sharing"",""แผน!HH59"")"),0)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IFERROR(__xludf.DUMMYFUNCTION("IMPORTRANGE(""https://docs.google.com/spreadsheets/d/1QqKyyYR6Q21VydFLVH3TRQUabQu_ym0Zz7PgGX0-kHA/edit?usp=sharing"",""แผน!HG59"")"),0)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IFERROR(__xludf.DUMMYFUNCTION("IMPORTRANGE(""https://docs.google.com/spreadsheets/d/1QqKyyYR6Q21VydFLVH3TRQUabQu_ym0Zz7PgGX0-kHA/edit?usp=sharing"",""แผน!HH59"")"),0)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IFERROR(__xludf.DUMMYFUNCTION("IMPORTRANGE(""https://docs.google.com/spreadsheets/d/1QqKyyYR6Q21VydFLVH3TRQUabQu_ym0Zz7PgGX0-kHA/edit?usp=sharing"",""แผน!HG59"")"),0)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IFERROR(__xludf.DUMMYFUNCTION("IMPORTRANGE(""https://docs.google.com/spreadsheets/d/1QqKyyYR6Q21VydFLVH3TRQUabQu_ym0Zz7PgGX0-kHA/edit?usp=sharing"",""แผน!HH59"")"),0)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IFERROR(__xludf.DUMMYFUNCTION("IMPORTRANGE(""https://docs.google.com/spreadsheets/d/1QqKyyYR6Q21VydFLVH3TRQUabQu_ym0Zz7PgGX0-kHA/edit?usp=sharing"",""แผน!HG59"")"),0)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 hidden="1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0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 hidden="1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IFERROR(__xludf.DUMMYFUNCTION("IMPORTRANGE(""https://docs.google.com/spreadsheets/d/1QqKyyYR6Q21VydFLVH3TRQUabQu_ym0Zz7PgGX0-kHA/edit?usp=sharing"",""แผน!HJ59"")"),0)</f>
        <v>0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 hidden="1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IFERROR(__xludf.DUMMYFUNCTION("IMPORTRANGE(""https://docs.google.com/spreadsheets/d/1QqKyyYR6Q21VydFLVH3TRQUabQu_ym0Zz7PgGX0-kHA/edit?usp=sharing"",""แผน!HI59"")"),0)</f>
        <v>0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 hidden="1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 hidden="1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 hidden="1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 hidden="1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 hidden="1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 hidden="1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 hidden="1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 hidden="1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 hidden="1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 hidden="1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 hidden="1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 hidden="1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 hidden="1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 hidden="1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 hidden="1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 hidden="1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IFERROR(__xludf.DUMMYFUNCTION("IMPORTRANGE(""https://docs.google.com/spreadsheets/d/1QqKyyYR6Q21VydFLVH3TRQUabQu_ym0Zz7PgGX0-kHA/edit?usp=sharing"",""แผน!HL59"")"),0)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IFERROR(__xludf.DUMMYFUNCTION("IMPORTRANGE(""https://docs.google.com/spreadsheets/d/1QqKyyYR6Q21VydFLVH3TRQUabQu_ym0Zz7PgGX0-kHA/edit?usp=sharing"",""แผน!HK59"")"),0)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0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0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0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IFERROR(__xludf.DUMMYFUNCTION("IMPORTRANGE(""https://docs.google.com/spreadsheets/d/1QqKyyYR6Q21VydFLVH3TRQUabQu_ym0Zz7PgGX0-kHA/edit?usp=sharing"",""แผน!HN59"")"),0)</f>
        <v>0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IFERROR(__xludf.DUMMYFUNCTION("IMPORTRANGE(""https://docs.google.com/spreadsheets/d/1QqKyyYR6Q21VydFLVH3TRQUabQu_ym0Zz7PgGX0-kHA/edit?usp=sharing"",""แผน!HQ59"")"),0)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IFERROR(__xludf.DUMMYFUNCTION("IMPORTRANGE(""https://docs.google.com/spreadsheets/d/1QqKyyYR6Q21VydFLVH3TRQUabQu_ym0Zz7PgGX0-kHA/edit?usp=sharing"",""แผน!HR59"")"),0)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IFERROR(__xludf.DUMMYFUNCTION("IMPORTRANGE(""https://docs.google.com/spreadsheets/d/1QqKyyYR6Q21VydFLVH3TRQUabQu_ym0Zz7PgGX0-kHA/edit?usp=sharing"",""แผน!HR59"")"),0)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IFERROR(__xludf.DUMMYFUNCTION("IMPORTRANGE(""https://docs.google.com/spreadsheets/d/1XWAQStnk-4SwqDmLtmXYiTMKHgktTP8We1SCoS47DrQ/edit?usp=sharing"",""จัดที่ดิน!AS59"")"),0)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IFERROR(__xludf.DUMMYFUNCTION("IMPORTRANGE(""https://docs.google.com/spreadsheets/d/1XWAQStnk-4SwqDmLtmXYiTMKHgktTP8We1SCoS47DrQ/edit?usp=sharing"",""จัดที่ดิน!AT59"")"),0)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IFERROR(__xludf.DUMMYFUNCTION("IMPORTRANGE(""https://docs.google.com/spreadsheets/d/1QqKyyYR6Q21VydFLVH3TRQUabQu_ym0Zz7PgGX0-kHA/edit?usp=sharing"",""แผน!HS59"")"),0)</f>
        <v>0</v>
      </c>
      <c r="J647" s="264">
        <f ca="1">IFERROR(__xludf.DUMMYFUNCTION("IMPORTRANGE(""https://docs.google.com/spreadsheets/d/1XWAQStnk-4SwqDmLtmXYiTMKHgktTP8We1SCoS47DrQ/edit?usp=sharing"",""จัดที่ดิน!AU59"")"),0)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IFERROR(__xludf.DUMMYFUNCTION("IMPORTRANGE(""https://docs.google.com/spreadsheets/d/1XWAQStnk-4SwqDmLtmXYiTMKHgktTP8We1SCoS47DrQ/edit?usp=sharing"",""จัดที่ดิน!AV59"")"),0)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IFERROR(__xludf.DUMMYFUNCTION("IMPORTRANGE(""https://docs.google.com/spreadsheets/d/1QqKyyYR6Q21VydFLVH3TRQUabQu_ym0Zz7PgGX0-kHA/edit?usp=sharing"",""แผน!HS59"")"),0)</f>
        <v>0</v>
      </c>
      <c r="J649" s="264">
        <f ca="1">IFERROR(__xludf.DUMMYFUNCTION("IMPORTRANGE(""https://docs.google.com/spreadsheets/d/1XWAQStnk-4SwqDmLtmXYiTMKHgktTP8We1SCoS47DrQ/edit?usp=sharing"",""จัดที่ดิน!AW59"")"),0)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IFERROR(__xludf.DUMMYFUNCTION("IMPORTRANGE(""https://docs.google.com/spreadsheets/d/1XWAQStnk-4SwqDmLtmXYiTMKHgktTP8We1SCoS47DrQ/edit?usp=sharing"",""จัดที่ดิน!AX59"")"),0)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IFERROR(__xludf.DUMMYFUNCTION("IMPORTRANGE(""https://docs.google.com/spreadsheets/d/1QqKyyYR6Q21VydFLVH3TRQUabQu_ym0Zz7PgGX0-kHA/edit?usp=sharing"",""แผน!HS59"")"),0)</f>
        <v>0</v>
      </c>
      <c r="J651" s="264">
        <f ca="1">IFERROR(__xludf.DUMMYFUNCTION("IMPORTRANGE(""https://docs.google.com/spreadsheets/d/1XWAQStnk-4SwqDmLtmXYiTMKHgktTP8We1SCoS47DrQ/edit?usp=sharing"",""จัดที่ดิน!AY59"")"),0)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IFERROR(__xludf.DUMMYFUNCTION("IMPORTRANGE(""https://docs.google.com/spreadsheets/d/1XWAQStnk-4SwqDmLtmXYiTMKHgktTP8We1SCoS47DrQ/edit?usp=sharing"",""จัดที่ดิน!AZ59"")"),0)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50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7800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7800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7800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IFERROR(__xludf.DUMMYFUNCTION("IMPORTRANGE(""https://docs.google.com/spreadsheets/d/1QqKyyYR6Q21VydFLVH3TRQUabQu_ym0Zz7PgGX0-kHA/edit?usp=sharing"",""แผน!HV59"")"),7800)</f>
        <v>7800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IFERROR(__xludf.DUMMYFUNCTION("IMPORTRANGE(""https://docs.google.com/spreadsheets/d/1QqKyyYR6Q21VydFLVH3TRQUabQu_ym0Zz7PgGX0-kHA/edit?usp=sharing"",""แผน!IA59"")"),50)</f>
        <v>50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IFERROR(__xludf.DUMMYFUNCTION("IMPORTRANGE(""https://docs.google.com/spreadsheets/d/1QqKyyYR6Q21VydFLVH3TRQUabQu_ym0Zz7PgGX0-kHA/edit?usp=sharing"",""แผน!HZ59"")"),3)</f>
        <v>3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IFERROR(__xludf.DUMMYFUNCTION("IMPORTRANGE(""https://docs.google.com/spreadsheets/d/1QqKyyYR6Q21VydFLVH3TRQUabQu_ym0Zz7PgGX0-kHA/edit?usp=sharing"",""แผน!HZ59"")"),3)</f>
        <v>3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IFERROR(__xludf.DUMMYFUNCTION("IMPORTRANGE(""https://docs.google.com/spreadsheets/d/1QqKyyYR6Q21VydFLVH3TRQUabQu_ym0Zz7PgGX0-kHA/edit?usp=sharing"",""แผน!IB59"")"),0)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54320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54320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54320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IFERROR(__xludf.DUMMYFUNCTION("IMPORTRANGE(""https://docs.google.com/spreadsheets/d/1QqKyyYR6Q21VydFLVH3TRQUabQu_ym0Zz7PgGX0-kHA/edit?usp=sharing"",""แผน!HW59"")"),54320)</f>
        <v>54320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IFERROR(__xludf.DUMMYFUNCTION("IMPORTRANGE(""https://docs.google.com/spreadsheets/d/1QqKyyYR6Q21VydFLVH3TRQUabQu_ym0Zz7PgGX0-kHA/edit?usp=sharing"",""แผน!IC59"")"),0)</f>
        <v>0</v>
      </c>
      <c r="J699" s="264">
        <f ca="1">IFERROR(__xludf.DUMMYFUNCTION("IMPORTRANGE(""https://docs.google.com/spreadsheets/d/1XWAQStnk-4SwqDmLtmXYiTMKHgktTP8We1SCoS47DrQ/edit?usp=sharing"",""จัดที่ดิน!BB59"")"),0)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IFERROR(__xludf.DUMMYFUNCTION("IMPORTRANGE(""https://docs.google.com/spreadsheets/d/1QqKyyYR6Q21VydFLVH3TRQUabQu_ym0Zz7PgGX0-kHA/edit?usp=sharing"",""แผน!ID59"")"),0)</f>
        <v>0</v>
      </c>
      <c r="J700" s="264">
        <f ca="1">IFERROR(__xludf.DUMMYFUNCTION("IMPORTRANGE(""https://docs.google.com/spreadsheets/d/1XWAQStnk-4SwqDmLtmXYiTMKHgktTP8We1SCoS47DrQ/edit?usp=sharing"",""จัดที่ดิน!BD59"")"),0)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IFERROR(__xludf.DUMMYFUNCTION("IMPORTRANGE(""https://docs.google.com/spreadsheets/d/1QqKyyYR6Q21VydFLVH3TRQUabQu_ym0Zz7PgGX0-kHA/edit?usp=sharing"",""แผน!IE59"")"),541)</f>
        <v>541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IFERROR(__xludf.DUMMYFUNCTION("IMPORTRANGE(""https://docs.google.com/spreadsheets/d/1QqKyyYR6Q21VydFLVH3TRQUabQu_ym0Zz7PgGX0-kHA/edit?usp=sharing"",""แผน!IF59"")"),541)</f>
        <v>541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IFERROR(__xludf.DUMMYFUNCTION("IMPORTRANGE(""https://docs.google.com/spreadsheets/d/1QqKyyYR6Q21VydFLVH3TRQUabQu_ym0Zz7PgGX0-kHA/edit?usp=sharing"",""แผน!IG59"")"),0)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IFERROR(__xludf.DUMMYFUNCTION("IMPORTRANGE(""https://docs.google.com/spreadsheets/d/1QqKyyYR6Q21VydFLVH3TRQUabQu_ym0Zz7PgGX0-kHA/edit?usp=sharing"",""แผน!IH59"")"),131)</f>
        <v>131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IFERROR(__xludf.DUMMYFUNCTION("IMPORTRANGE(""https://docs.google.com/spreadsheets/d/1XWAQStnk-4SwqDmLtmXYiTMKHgktTP8We1SCoS47DrQ/edit?usp=sharing"",""จัดที่ดิน!BF59"")"),0)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IFERROR(__xludf.DUMMYFUNCTION("IMPORTRANGE(""https://docs.google.com/spreadsheets/d/1XWAQStnk-4SwqDmLtmXYiTMKHgktTP8We1SCoS47DrQ/edit?usp=sharing"",""จัดที่ดิน!BG59"")"),0)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IFERROR(__xludf.DUMMYFUNCTION("IMPORTRANGE(""https://docs.google.com/spreadsheets/d/1QqKyyYR6Q21VydFLVH3TRQUabQu_ym0Zz7PgGX0-kHA/edit?usp=sharing"",""แผน!II59"")"),312)</f>
        <v>312</v>
      </c>
      <c r="J720" s="264">
        <f ca="1">IFERROR(__xludf.DUMMYFUNCTION("IMPORTRANGE(""https://docs.google.com/spreadsheets/d/1XWAQStnk-4SwqDmLtmXYiTMKHgktTP8We1SCoS47DrQ/edit?usp=sharing"",""จัดที่ดิน!BH59"")"),0)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IFERROR(__xludf.DUMMYFUNCTION("IMPORTRANGE(""https://docs.google.com/spreadsheets/d/1QqKyyYR6Q21VydFLVH3TRQUabQu_ym0Zz7PgGX0-kHA/edit?usp=sharing"",""แผน!IJ59"")"),36)</f>
        <v>36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IFERROR(__xludf.DUMMYFUNCTION("IMPORTRANGE(""https://docs.google.com/spreadsheets/d/1QqKyyYR6Q21VydFLVH3TRQUabQu_ym0Zz7PgGX0-kHA/edit?usp=sharing"",""แผน!IK59"")"),351)</f>
        <v>351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IFERROR(__xludf.DUMMYFUNCTION("IMPORTRANGE(""https://docs.google.com/spreadsheets/d/1QqKyyYR6Q21VydFLVH3TRQUabQu_ym0Zz7PgGX0-kHA/edit?usp=sharing"",""แผน!IL59"")"),17)</f>
        <v>17</v>
      </c>
      <c r="J723" s="264">
        <f ca="1">IFERROR(__xludf.DUMMYFUNCTION("IMPORTRANGE(""https://docs.google.com/spreadsheets/d/1XWAQStnk-4SwqDmLtmXYiTMKHgktTP8We1SCoS47DrQ/edit?usp=sharing"",""จัดที่ดิน!BM59"")"),0)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IFERROR(__xludf.DUMMYFUNCTION("IMPORTRANGE(""https://docs.google.com/spreadsheets/d/1XWAQStnk-4SwqDmLtmXYiTMKHgktTP8We1SCoS47DrQ/edit?usp=sharing"",""จัดที่ดิน!BN59"")"),0)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IFERROR(__xludf.DUMMYFUNCTION("IMPORTRANGE(""https://docs.google.com/spreadsheets/d/1QqKyyYR6Q21VydFLVH3TRQUabQu_ym0Zz7PgGX0-kHA/edit?usp=sharing"",""แผน!IM59"")"),220)</f>
        <v>220</v>
      </c>
      <c r="J725" s="264">
        <f ca="1">IFERROR(__xludf.DUMMYFUNCTION("IMPORTRANGE(""https://docs.google.com/spreadsheets/d/1XWAQStnk-4SwqDmLtmXYiTMKHgktTP8We1SCoS47DrQ/edit?usp=sharing"",""จัดที่ดิน!BO59"")"),0)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IFERROR(__xludf.DUMMYFUNCTION("IMPORTRANGE(""https://docs.google.com/spreadsheets/d/1QqKyyYR6Q21VydFLVH3TRQUabQu_ym0Zz7PgGX0-kHA/edit?usp=sharing"",""แผน!IN59"")"),19)</f>
        <v>19</v>
      </c>
      <c r="J726" s="264">
        <f ca="1">IFERROR(__xludf.DUMMYFUNCTION("IMPORTRANGE(""https://docs.google.com/spreadsheets/d/1XWAQStnk-4SwqDmLtmXYiTMKHgktTP8We1SCoS47DrQ/edit?usp=sharing"",""จัดที่ดิน!BR59"")"),0)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IFERROR(__xludf.DUMMYFUNCTION("IMPORTRANGE(""https://docs.google.com/spreadsheets/d/1XWAQStnk-4SwqDmLtmXYiTMKHgktTP8We1SCoS47DrQ/edit?usp=sharing"",""จัดที่ดิน!BS59"")"),0)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IFERROR(__xludf.DUMMYFUNCTION("IMPORTRANGE(""https://docs.google.com/spreadsheets/d/1QqKyyYR6Q21VydFLVH3TRQUabQu_ym0Zz7PgGX0-kHA/edit?usp=sharing"",""แผน!IO59"")"),131)</f>
        <v>131</v>
      </c>
      <c r="J728" s="264">
        <f ca="1">IFERROR(__xludf.DUMMYFUNCTION("IMPORTRANGE(""https://docs.google.com/spreadsheets/d/1XWAQStnk-4SwqDmLtmXYiTMKHgktTP8We1SCoS47DrQ/edit?usp=sharing"",""จัดที่ดิน!BT59"")"),0)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IFERROR(__xludf.DUMMYFUNCTION("IMPORTRANGE(""https://docs.google.com/spreadsheets/d/1QqKyyYR6Q21VydFLVH3TRQUabQu_ym0Zz7PgGX0-kHA/edit?usp=sharing"",""แผน!IP59"")"),131)</f>
        <v>131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IFERROR(__xludf.DUMMYFUNCTION("IMPORTRANGE(""https://docs.google.com/spreadsheets/d/1QqKyyYR6Q21VydFLVH3TRQUabQu_ym0Zz7PgGX0-kHA/edit?usp=sharing"",""แผน!JJ59"")"),0)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IFERROR(__xludf.DUMMYFUNCTION("IMPORTRANGE(""https://docs.google.com/spreadsheets/d/1QqKyyYR6Q21VydFLVH3TRQUabQu_ym0Zz7PgGX0-kHA/edit?usp=sharing"",""แผน!JN59"")"),0)</f>
        <v>0</v>
      </c>
      <c r="J800" s="180">
        <f ca="1">IFERROR(__xludf.DUMMYFUNCTION("IMPORTRANGE(""https://docs.google.com/spreadsheets/d/1MaWodYyGHDf7siQLGxnXhG4mBNTNIuy296niS2xXulU/edit?usp=sharing"",""RTK!H59"")"),0)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IFERROR(__xludf.DUMMYFUNCTION("IMPORTRANGE(""https://docs.google.com/spreadsheets/d/1MaWodYyGHDf7siQLGxnXhG4mBNTNIuy296niS2xXulU/edit?usp=sharing"",""RTK!I59"")"),0)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IFERROR(__xludf.DUMMYFUNCTION("IMPORTRANGE(""https://docs.google.com/spreadsheets/d/19vJNZY_5yjcGF2XGBMNZRCAIB0Kwfpjp8YEOfu-bneM/edit?usp=sharing"",""งานกองทุน!D59"")"),2807346.56)</f>
        <v>2807346.56</v>
      </c>
      <c r="J821" s="264">
        <f ca="1">IFERROR(__xludf.DUMMYFUNCTION("IMPORTRANGE(""https://docs.google.com/spreadsheets/d/19vJNZY_5yjcGF2XGBMNZRCAIB0Kwfpjp8YEOfu-bneM/edit?usp=sharing"",""งานกองทุน!F59"")"),0)</f>
        <v>0</v>
      </c>
      <c r="K821" s="495">
        <f t="shared" ref="K821:K828" ca="1" si="334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IFERROR(__xludf.DUMMYFUNCTION("IMPORTRANGE(""https://docs.google.com/spreadsheets/d/19vJNZY_5yjcGF2XGBMNZRCAIB0Kwfpjp8YEOfu-bneM/edit?usp=sharing"",""งานกองทุน!C59"")"),104)</f>
        <v>104</v>
      </c>
      <c r="J822" s="264">
        <f ca="1">IFERROR(__xludf.DUMMYFUNCTION("IMPORTRANGE(""https://docs.google.com/spreadsheets/d/19vJNZY_5yjcGF2XGBMNZRCAIB0Kwfpjp8YEOfu-bneM/edit?usp=sharing"",""งานกองทุน!E59"")"),0)</f>
        <v>0</v>
      </c>
      <c r="K822" s="495">
        <f t="shared" ca="1" si="334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264">
        <f ca="1">IFERROR(__xludf.DUMMYFUNCTION("IMPORTRANGE(""https://docs.google.com/spreadsheets/d/19vJNZY_5yjcGF2XGBMNZRCAIB0Kwfpjp8YEOfu-bneM/edit?usp=sharing"",""งานกองทุน!K59"")"),27401.06)</f>
        <v>27401.06</v>
      </c>
      <c r="K823" s="495">
        <f t="shared" ca="1" si="334"/>
        <v>0.65797145402824442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IFERROR(__xludf.DUMMYFUNCTION("IMPORTRANGE(""https://docs.google.com/spreadsheets/d/19vJNZY_5yjcGF2XGBMNZRCAIB0Kwfpjp8YEOfu-bneM/edit?usp=sharing"",""งานกองทุน!H59"")"),123)</f>
        <v>123</v>
      </c>
      <c r="J824" s="264">
        <f ca="1">IFERROR(__xludf.DUMMYFUNCTION("IMPORTRANGE(""https://docs.google.com/spreadsheets/d/19vJNZY_5yjcGF2XGBMNZRCAIB0Kwfpjp8YEOfu-bneM/edit?usp=sharing"",""งานกองทุน!J59"")"),5)</f>
        <v>5</v>
      </c>
      <c r="K824" s="495">
        <f t="shared" ca="1" si="334"/>
        <v>4.0650406504065044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IFERROR(__xludf.DUMMYFUNCTION("IMPORTRANGE(""https://docs.google.com/spreadsheets/d/19vJNZY_5yjcGF2XGBMNZRCAIB0Kwfpjp8YEOfu-bneM/edit?usp=sharing"",""งานกองทุน!N59"")"),5182428.5)</f>
        <v>5182428.5</v>
      </c>
      <c r="J825" s="264">
        <f ca="1">IFERROR(__xludf.DUMMYFUNCTION("IMPORTRANGE(""https://docs.google.com/spreadsheets/d/19vJNZY_5yjcGF2XGBMNZRCAIB0Kwfpjp8YEOfu-bneM/edit?usp=sharing"",""งานกองทุน!P59"")"),143546.38)</f>
        <v>143546.38</v>
      </c>
      <c r="K825" s="495">
        <f t="shared" ca="1" si="334"/>
        <v>2.7698670613593608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IFERROR(__xludf.DUMMYFUNCTION("IMPORTRANGE(""https://docs.google.com/spreadsheets/d/19vJNZY_5yjcGF2XGBMNZRCAIB0Kwfpjp8YEOfu-bneM/edit?usp=sharing"",""งานกองทุน!M59"")"),1896)</f>
        <v>1896</v>
      </c>
      <c r="J826" s="264">
        <f ca="1">IFERROR(__xludf.DUMMYFUNCTION("IMPORTRANGE(""https://docs.google.com/spreadsheets/d/19vJNZY_5yjcGF2XGBMNZRCAIB0Kwfpjp8YEOfu-bneM/edit?usp=sharing"",""งานกองทุน!O59"")"),24)</f>
        <v>24</v>
      </c>
      <c r="K826" s="495">
        <f t="shared" ca="1" si="334"/>
        <v>1.2658227848101267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IFERROR(__xludf.DUMMYFUNCTION("IMPORTRANGE(""https://docs.google.com/spreadsheets/d/19vJNZY_5yjcGF2XGBMNZRCAIB0Kwfpjp8YEOfu-bneM/edit?usp=sharing"",""งานกองทุน!S59"")"),2810000)</f>
        <v>2810000</v>
      </c>
      <c r="J827" s="264">
        <f ca="1">IFERROR(__xludf.DUMMYFUNCTION("IMPORTRANGE(""https://docs.google.com/spreadsheets/d/19vJNZY_5yjcGF2XGBMNZRCAIB0Kwfpjp8YEOfu-bneM/edit?usp=sharing"",""งานกองทุน!U59"")"),0)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IFERROR(__xludf.DUMMYFUNCTION("IMPORTRANGE(""https://docs.google.com/spreadsheets/d/19vJNZY_5yjcGF2XGBMNZRCAIB0Kwfpjp8YEOfu-bneM/edit?usp=sharing"",""งานกองทุน!R59"")"),111)</f>
        <v>111</v>
      </c>
      <c r="J828" s="498">
        <f ca="1">IFERROR(__xludf.DUMMYFUNCTION("IMPORTRANGE(""https://docs.google.com/spreadsheets/d/19vJNZY_5yjcGF2XGBMNZRCAIB0Kwfpjp8YEOfu-bneM/edit?usp=sharing"",""งานกองทุน!T59"")"),44)</f>
        <v>44</v>
      </c>
      <c r="K828" s="499">
        <f t="shared" ca="1" si="334"/>
        <v>39.63963963963964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1704-A700-4951-8BB8-D3F0AC04D252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342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2154195</v>
      </c>
      <c r="M8" s="21">
        <f t="shared" ca="1" si="0"/>
        <v>1072525</v>
      </c>
      <c r="N8" s="21">
        <f t="shared" ca="1" si="0"/>
        <v>515231.03</v>
      </c>
      <c r="O8" s="21">
        <f t="shared" ref="O8:O16" ca="1" si="1">IF(L8&gt;0,N8*100/L8,0)</f>
        <v>23.917566886934562</v>
      </c>
      <c r="P8" s="21">
        <f t="shared" ref="P8:P16" ca="1" si="2">IF(M8&gt;0,N8*100/M8,0)</f>
        <v>48.039069485559779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2154195</v>
      </c>
      <c r="M10" s="29">
        <f t="shared" ca="1" si="3"/>
        <v>1072525</v>
      </c>
      <c r="N10" s="29">
        <f t="shared" ca="1" si="3"/>
        <v>515231.03</v>
      </c>
      <c r="O10" s="29">
        <f t="shared" ca="1" si="1"/>
        <v>23.917566886934562</v>
      </c>
      <c r="P10" s="29">
        <f t="shared" ca="1" si="2"/>
        <v>48.039069485559779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2116395</v>
      </c>
      <c r="M11" s="495">
        <f t="shared" ca="1" si="4"/>
        <v>1034725</v>
      </c>
      <c r="N11" s="495">
        <f t="shared" ca="1" si="4"/>
        <v>477431.03</v>
      </c>
      <c r="O11" s="495">
        <f t="shared" ca="1" si="1"/>
        <v>22.558692021101923</v>
      </c>
      <c r="P11" s="495">
        <f t="shared" ca="1" si="2"/>
        <v>46.140861581579649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2116395</v>
      </c>
      <c r="M13" s="90">
        <f t="shared" ca="1" si="5"/>
        <v>1034725</v>
      </c>
      <c r="N13" s="90">
        <f t="shared" ca="1" si="5"/>
        <v>477431.03</v>
      </c>
      <c r="O13" s="90">
        <f t="shared" ca="1" si="1"/>
        <v>22.558692021101923</v>
      </c>
      <c r="P13" s="90">
        <f t="shared" ca="1" si="2"/>
        <v>46.140861581579649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37800</v>
      </c>
      <c r="M14" s="495">
        <f t="shared" ca="1" si="6"/>
        <v>37800</v>
      </c>
      <c r="N14" s="495">
        <f t="shared" ca="1" si="6"/>
        <v>37800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37800</v>
      </c>
      <c r="M16" s="51">
        <f t="shared" ca="1" si="7"/>
        <v>37800</v>
      </c>
      <c r="N16" s="51">
        <f t="shared" ca="1" si="7"/>
        <v>37800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2029255</v>
      </c>
      <c r="M18" s="21">
        <f t="shared" ca="1" si="8"/>
        <v>1072525</v>
      </c>
      <c r="N18" s="21">
        <f t="shared" ca="1" si="8"/>
        <v>515231.03</v>
      </c>
      <c r="O18" s="21">
        <f t="shared" ref="O18:O26" ca="1" si="9">IF(L18&gt;0,N18*100/L18,0)</f>
        <v>25.39015697879271</v>
      </c>
      <c r="P18" s="21">
        <f t="shared" ref="P18:P26" ca="1" si="10">IF(M18&gt;0,N18*100/M18,0)</f>
        <v>48.039069485559779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2029255</v>
      </c>
      <c r="M20" s="29">
        <f t="shared" ca="1" si="11"/>
        <v>1072525</v>
      </c>
      <c r="N20" s="29">
        <f t="shared" ca="1" si="11"/>
        <v>515231.03</v>
      </c>
      <c r="O20" s="29">
        <f t="shared" ca="1" si="9"/>
        <v>25.39015697879271</v>
      </c>
      <c r="P20" s="29">
        <f t="shared" ca="1" si="10"/>
        <v>48.039069485559779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1991455</v>
      </c>
      <c r="M21" s="495">
        <f t="shared" ca="1" si="12"/>
        <v>1034725</v>
      </c>
      <c r="N21" s="495">
        <f t="shared" ca="1" si="12"/>
        <v>477431.03</v>
      </c>
      <c r="O21" s="495">
        <f t="shared" ca="1" si="9"/>
        <v>23.973980330964043</v>
      </c>
      <c r="P21" s="495">
        <f t="shared" ca="1" si="10"/>
        <v>46.140861581579649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1991455</v>
      </c>
      <c r="M23" s="90">
        <f t="shared" ca="1" si="13"/>
        <v>1034725</v>
      </c>
      <c r="N23" s="90">
        <f t="shared" ca="1" si="13"/>
        <v>477431.03</v>
      </c>
      <c r="O23" s="90">
        <f t="shared" ca="1" si="9"/>
        <v>23.973980330964043</v>
      </c>
      <c r="P23" s="90">
        <f t="shared" ca="1" si="10"/>
        <v>46.140861581579649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37800</v>
      </c>
      <c r="M24" s="495">
        <f t="shared" ca="1" si="14"/>
        <v>37800</v>
      </c>
      <c r="N24" s="495">
        <f t="shared" ca="1" si="14"/>
        <v>37800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37800</v>
      </c>
      <c r="M26" s="51">
        <f t="shared" ca="1" si="15"/>
        <v>37800</v>
      </c>
      <c r="N26" s="51">
        <f t="shared" ca="1" si="15"/>
        <v>37800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124940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124940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124940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124940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2029255</v>
      </c>
      <c r="M37" s="57">
        <f t="shared" ca="1" si="24"/>
        <v>1072525</v>
      </c>
      <c r="N37" s="57">
        <f t="shared" ca="1" si="24"/>
        <v>515231.03</v>
      </c>
      <c r="O37" s="57">
        <f t="shared" ca="1" si="17"/>
        <v>25.39015697879271</v>
      </c>
      <c r="P37" s="57">
        <f t="shared" ca="1" si="18"/>
        <v>48.039069485559779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293400</v>
      </c>
      <c r="M41" s="82">
        <f t="shared" ca="1" si="25"/>
        <v>149400</v>
      </c>
      <c r="N41" s="82">
        <f t="shared" ca="1" si="25"/>
        <v>56600</v>
      </c>
      <c r="O41" s="82">
        <f t="shared" ref="O41:O49" ca="1" si="26">IF(L41&gt;0,N41*100/L41,0)</f>
        <v>19.29107021131561</v>
      </c>
      <c r="P41" s="82">
        <f t="shared" ref="P41:P49" ca="1" si="27">IF(M41&gt;0,N41*100/M41,0)</f>
        <v>37.884872824631863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293400</v>
      </c>
      <c r="M43" s="89">
        <f t="shared" ca="1" si="28"/>
        <v>149400</v>
      </c>
      <c r="N43" s="89">
        <f t="shared" ca="1" si="28"/>
        <v>56600</v>
      </c>
      <c r="O43" s="89">
        <f t="shared" ca="1" si="26"/>
        <v>19.29107021131561</v>
      </c>
      <c r="P43" s="89">
        <f t="shared" ca="1" si="27"/>
        <v>37.884872824631863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293400</v>
      </c>
      <c r="M44" s="495">
        <f t="shared" ca="1" si="29"/>
        <v>149400</v>
      </c>
      <c r="N44" s="495">
        <f t="shared" ca="1" si="29"/>
        <v>56600</v>
      </c>
      <c r="O44" s="495">
        <f t="shared" ca="1" si="26"/>
        <v>19.29107021131561</v>
      </c>
      <c r="P44" s="495">
        <f t="shared" ca="1" si="27"/>
        <v>37.884872824631863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IFERROR(__xludf.DUMMYFUNCTION("IMPORTRANGE(""https://docs.google.com/spreadsheets/d/1MeEWN-I1oV_STSDYn1IFDPWt_1FKiwhDph83XaGc0o0/edit?usp=sharing"",""งบพรบ!M60"")"),293400)</f>
        <v>293400</v>
      </c>
      <c r="M46" s="90">
        <f ca="1">IFERROR(__xludf.DUMMYFUNCTION("IMPORTRANGE(""https://docs.google.com/spreadsheets/d/1MeEWN-I1oV_STSDYn1IFDPWt_1FKiwhDph83XaGc0o0/edit?usp=sharing"",""งบพรบ!R60"")"),149400)</f>
        <v>149400</v>
      </c>
      <c r="N46" s="90">
        <f ca="1">IFERROR(__xludf.DUMMYFUNCTION("IMPORTRANGE(""https://docs.google.com/spreadsheets/d/1MeEWN-I1oV_STSDYn1IFDPWt_1FKiwhDph83XaGc0o0/edit?usp=sharing"",""งบพรบ!T60"")"),56600)</f>
        <v>56600</v>
      </c>
      <c r="O46" s="90">
        <f t="shared" ca="1" si="26"/>
        <v>19.29107021131561</v>
      </c>
      <c r="P46" s="90">
        <f t="shared" ca="1" si="27"/>
        <v>37.884872824631863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IFERROR(__xludf.DUMMYFUNCTION("IMPORTRANGE(""https://docs.google.com/spreadsheets/d/1MeEWN-I1oV_STSDYn1IFDPWt_1FKiwhDph83XaGc0o0/edit?usp=sharing"",""งบพรบ!P60"")"),0)</f>
        <v>0</v>
      </c>
      <c r="M49" s="51">
        <f ca="1">IFERROR(__xludf.DUMMYFUNCTION("IMPORTRANGE(""https://docs.google.com/spreadsheets/d/1MeEWN-I1oV_STSDYn1IFDPWt_1FKiwhDph83XaGc0o0/edit?usp=sharing"",""งบพรบ!S60"")"),0)</f>
        <v>0</v>
      </c>
      <c r="N49" s="51">
        <f ca="1">IFERROR(__xludf.DUMMYFUNCTION("IMPORTRANGE(""https://docs.google.com/spreadsheets/d/1MeEWN-I1oV_STSDYn1IFDPWt_1FKiwhDph83XaGc0o0/edit?usp=sharing"",""งบพรบ!U60"")"),0)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566800</v>
      </c>
      <c r="M53" s="112">
        <f t="shared" ca="1" si="31"/>
        <v>340020</v>
      </c>
      <c r="N53" s="112">
        <f t="shared" ca="1" si="31"/>
        <v>214019.69</v>
      </c>
      <c r="O53" s="112">
        <f t="shared" ref="O53:O61" ca="1" si="32">IF(L53&gt;0,N53*100/L53,0)</f>
        <v>37.759296047988705</v>
      </c>
      <c r="P53" s="112">
        <f t="shared" ref="P53:P61" ca="1" si="33">IF(M53&gt;0,N53*100/M53,0)</f>
        <v>62.94326510205282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566800</v>
      </c>
      <c r="M55" s="119">
        <f t="shared" ca="1" si="34"/>
        <v>340020</v>
      </c>
      <c r="N55" s="119">
        <f t="shared" ca="1" si="34"/>
        <v>214019.69</v>
      </c>
      <c r="O55" s="119">
        <f t="shared" ca="1" si="32"/>
        <v>37.759296047988705</v>
      </c>
      <c r="P55" s="119">
        <f t="shared" ca="1" si="33"/>
        <v>62.94326510205282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566800</v>
      </c>
      <c r="M56" s="495">
        <f t="shared" ca="1" si="35"/>
        <v>340020</v>
      </c>
      <c r="N56" s="495">
        <f t="shared" ca="1" si="35"/>
        <v>214019.69</v>
      </c>
      <c r="O56" s="495">
        <f t="shared" ca="1" si="32"/>
        <v>37.759296047988705</v>
      </c>
      <c r="P56" s="495">
        <f t="shared" ca="1" si="33"/>
        <v>62.94326510205282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IFERROR(__xludf.DUMMYFUNCTION("IMPORTRANGE(""https://docs.google.com/spreadsheets/d/1MeEWN-I1oV_STSDYn1IFDPWt_1FKiwhDph83XaGc0o0/edit?usp=sharing"",""งบพรบ!W60"")"),566800)</f>
        <v>566800</v>
      </c>
      <c r="M58" s="90">
        <f ca="1">IFERROR(__xludf.DUMMYFUNCTION("IMPORTRANGE(""https://docs.google.com/spreadsheets/d/1MeEWN-I1oV_STSDYn1IFDPWt_1FKiwhDph83XaGc0o0/edit?usp=sharing"",""งบพรบ!AB60"")"),340020)</f>
        <v>340020</v>
      </c>
      <c r="N58" s="90">
        <f ca="1">IFERROR(__xludf.DUMMYFUNCTION("IMPORTRANGE(""https://docs.google.com/spreadsheets/d/1MeEWN-I1oV_STSDYn1IFDPWt_1FKiwhDph83XaGc0o0/edit?usp=sharing"",""งบพรบ!AD60"")"),214019.69)</f>
        <v>214019.69</v>
      </c>
      <c r="O58" s="90">
        <f t="shared" ca="1" si="32"/>
        <v>37.759296047988705</v>
      </c>
      <c r="P58" s="90">
        <f t="shared" ca="1" si="33"/>
        <v>62.94326510205282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IFERROR(__xludf.DUMMYFUNCTION("IMPORTRANGE(""https://docs.google.com/spreadsheets/d/1MeEWN-I1oV_STSDYn1IFDPWt_1FKiwhDph83XaGc0o0/edit?usp=sharing"",""งบพรบ!Z60"")"),0)</f>
        <v>0</v>
      </c>
      <c r="M61" s="51">
        <f ca="1">IFERROR(__xludf.DUMMYFUNCTION("IMPORTRANGE(""https://docs.google.com/spreadsheets/d/1MeEWN-I1oV_STSDYn1IFDPWt_1FKiwhDph83XaGc0o0/edit?usp=sharing"",""งบพรบ!AC60"")"),0)</f>
        <v>0</v>
      </c>
      <c r="N61" s="51">
        <f ca="1">IFERROR(__xludf.DUMMYFUNCTION("IMPORTRANGE(""https://docs.google.com/spreadsheets/d/1MeEWN-I1oV_STSDYn1IFDPWt_1FKiwhDph83XaGc0o0/edit?usp=sharing"",""งบพรบ!AE60"")"),0)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IFERROR(__xludf.DUMMYFUNCTION("IMPORTRANGE(""https://docs.google.com/spreadsheets/d/1MeEWN-I1oV_STSDYn1IFDPWt_1FKiwhDph83XaGc0o0/edit?usp=sharing"",""งบพรบ!AG60"")"),0)</f>
        <v>0</v>
      </c>
      <c r="M71" s="90">
        <f ca="1">IFERROR(__xludf.DUMMYFUNCTION("IMPORTRANGE(""https://docs.google.com/spreadsheets/d/1MeEWN-I1oV_STSDYn1IFDPWt_1FKiwhDph83XaGc0o0/edit?usp=sharing"",""งบพรบ!AL60"")"),0)</f>
        <v>0</v>
      </c>
      <c r="N71" s="90">
        <f ca="1">IFERROR(__xludf.DUMMYFUNCTION("IMPORTRANGE(""https://docs.google.com/spreadsheets/d/1MeEWN-I1oV_STSDYn1IFDPWt_1FKiwhDph83XaGc0o0/edit?usp=sharing"",""งบพรบ!AN60"")"),0)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IFERROR(__xludf.DUMMYFUNCTION("IMPORTRANGE(""https://docs.google.com/spreadsheets/d/1MeEWN-I1oV_STSDYn1IFDPWt_1FKiwhDph83XaGc0o0/edit?usp=sharing"",""งบพรบ!AJ60"")"),0)</f>
        <v>0</v>
      </c>
      <c r="M74" s="90">
        <f ca="1">IFERROR(__xludf.DUMMYFUNCTION("IMPORTRANGE(""https://docs.google.com/spreadsheets/d/1MeEWN-I1oV_STSDYn1IFDPWt_1FKiwhDph83XaGc0o0/edit?usp=sharing"",""งบพรบ!AM60"")"),0)</f>
        <v>0</v>
      </c>
      <c r="N74" s="90">
        <f ca="1">IFERROR(__xludf.DUMMYFUNCTION("IMPORTRANGE(""https://docs.google.com/spreadsheets/d/1MeEWN-I1oV_STSDYn1IFDPWt_1FKiwhDph83XaGc0o0/edit?usp=sharing"",""งบพรบ!AO60"")"),0)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IFERROR(__xludf.DUMMYFUNCTION("IMPORTRANGE(""https://docs.google.com/spreadsheets/d/1QqKyyYR6Q21VydFLVH3TRQUabQu_ym0Zz7PgGX0-kHA/edit?usp=sharing"",""แผน!H60"")"),0)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IFERROR(__xludf.DUMMYFUNCTION("IMPORTRANGE(""https://docs.google.com/spreadsheets/d/1QqKyyYR6Q21VydFLVH3TRQUabQu_ym0Zz7PgGX0-kHA/edit?usp=sharing"",""แผน!I60"")"),0)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IFERROR(__xludf.DUMMYFUNCTION("IMPORTRANGE(""https://docs.google.com/spreadsheets/d/1QqKyyYR6Q21VydFLVH3TRQUabQu_ym0Zz7PgGX0-kHA/edit?usp=sharing"",""แผน!F60"")"),0)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IFERROR(__xludf.DUMMYFUNCTION("IMPORTRANGE(""https://docs.google.com/spreadsheets/d/1QqKyyYR6Q21VydFLVH3TRQUabQu_ym0Zz7PgGX0-kHA/edit?usp=sharing"",""แผน!G60"")"),0)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IFERROR(__xludf.DUMMYFUNCTION("IMPORTRANGE(""https://docs.google.com/spreadsheets/d/1QqKyyYR6Q21VydFLVH3TRQUabQu_ym0Zz7PgGX0-kHA/edit?usp=sharing"",""แผน!D60"")"),0)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IFERROR(__xludf.DUMMYFUNCTION("IMPORTRANGE(""https://docs.google.com/spreadsheets/d/1QqKyyYR6Q21VydFLVH3TRQUabQu_ym0Zz7PgGX0-kHA/edit?usp=sharing"",""แผน!E60"")"),0)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IFERROR(__xludf.DUMMYFUNCTION("IMPORTRANGE(""https://docs.google.com/spreadsheets/d/1QqKyyYR6Q21VydFLVH3TRQUabQu_ym0Zz7PgGX0-kHA/edit?usp=sharing"",""แผน!J60"")"),0)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30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199040</v>
      </c>
      <c r="M88" s="151">
        <f t="shared" ca="1" si="49"/>
        <v>86840</v>
      </c>
      <c r="N88" s="151">
        <f t="shared" ca="1" si="49"/>
        <v>44585</v>
      </c>
      <c r="O88" s="151">
        <f t="shared" ref="O88:O96" ca="1" si="50">IF(L88&gt;0,N88*100/L88,0)</f>
        <v>22.400020096463024</v>
      </c>
      <c r="P88" s="151">
        <f t="shared" ref="P88:P96" ca="1" si="51">IF(M88&gt;0,N88*100/M88,0)</f>
        <v>51.341547673883007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199040</v>
      </c>
      <c r="M90" s="90">
        <f t="shared" ca="1" si="52"/>
        <v>86840</v>
      </c>
      <c r="N90" s="90">
        <f t="shared" ca="1" si="52"/>
        <v>44585</v>
      </c>
      <c r="O90" s="90">
        <f t="shared" ca="1" si="50"/>
        <v>22.400020096463024</v>
      </c>
      <c r="P90" s="90">
        <f t="shared" ca="1" si="51"/>
        <v>51.341547673883007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199040</v>
      </c>
      <c r="M91" s="495">
        <f t="shared" ca="1" si="53"/>
        <v>86840</v>
      </c>
      <c r="N91" s="495">
        <f t="shared" ca="1" si="53"/>
        <v>44585</v>
      </c>
      <c r="O91" s="495">
        <f t="shared" ca="1" si="50"/>
        <v>22.400020096463024</v>
      </c>
      <c r="P91" s="495">
        <f t="shared" ca="1" si="51"/>
        <v>51.341547673883007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IFERROR(__xludf.DUMMYFUNCTION("IMPORTRANGE(""https://docs.google.com/spreadsheets/d/1MeEWN-I1oV_STSDYn1IFDPWt_1FKiwhDph83XaGc0o0/edit?usp=sharing"",""งบพรบ!AQ60"")"),199040)</f>
        <v>199040</v>
      </c>
      <c r="M93" s="90">
        <f ca="1">IFERROR(__xludf.DUMMYFUNCTION("IMPORTRANGE(""https://docs.google.com/spreadsheets/d/1MeEWN-I1oV_STSDYn1IFDPWt_1FKiwhDph83XaGc0o0/edit?usp=sharing"",""งบพรบ!AV60"")"),86840)</f>
        <v>86840</v>
      </c>
      <c r="N93" s="90">
        <f ca="1">IFERROR(__xludf.DUMMYFUNCTION("IMPORTRANGE(""https://docs.google.com/spreadsheets/d/1MeEWN-I1oV_STSDYn1IFDPWt_1FKiwhDph83XaGc0o0/edit?usp=sharing"",""งบพรบ!AX60"")"),44585)</f>
        <v>44585</v>
      </c>
      <c r="O93" s="90">
        <f t="shared" ca="1" si="50"/>
        <v>22.400020096463024</v>
      </c>
      <c r="P93" s="90">
        <f t="shared" ca="1" si="51"/>
        <v>51.341547673883007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IFERROR(__xludf.DUMMYFUNCTION("IMPORTRANGE(""https://docs.google.com/spreadsheets/d/1MeEWN-I1oV_STSDYn1IFDPWt_1FKiwhDph83XaGc0o0/edit?usp=sharing"",""งบพรบ!AT60"")"),0)</f>
        <v>0</v>
      </c>
      <c r="M96" s="90">
        <f ca="1">IFERROR(__xludf.DUMMYFUNCTION("IMPORTRANGE(""https://docs.google.com/spreadsheets/d/1MeEWN-I1oV_STSDYn1IFDPWt_1FKiwhDph83XaGc0o0/edit?usp=sharing"",""งบพรบ!AW60"")"),0)</f>
        <v>0</v>
      </c>
      <c r="N96" s="90">
        <f ca="1">IFERROR(__xludf.DUMMYFUNCTION("IMPORTRANGE(""https://docs.google.com/spreadsheets/d/1MeEWN-I1oV_STSDYn1IFDPWt_1FKiwhDph83XaGc0o0/edit?usp=sharing"",""งบพรบ!AY60"")"),0)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IFERROR(__xludf.DUMMYFUNCTION("IMPORTRANGE(""https://docs.google.com/spreadsheets/d/1QqKyyYR6Q21VydFLVH3TRQUabQu_ym0Zz7PgGX0-kHA/edit?usp=sharing"",""แผน!K60"")"),30)</f>
        <v>30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IFERROR(__xludf.DUMMYFUNCTION("IMPORTRANGE(""https://docs.google.com/spreadsheets/d/1QqKyyYR6Q21VydFLVH3TRQUabQu_ym0Zz7PgGX0-kHA/edit?usp=sharing"",""แผน!L60"")"),10)</f>
        <v>10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IFERROR(__xludf.DUMMYFUNCTION("IMPORTRANGE(""https://docs.google.com/spreadsheets/d/1QqKyyYR6Q21VydFLVH3TRQUabQu_ym0Zz7PgGX0-kHA/edit?usp=sharing"",""แผน!M60"")"),1)</f>
        <v>1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IFERROR(__xludf.DUMMYFUNCTION("IMPORTRANGE(""https://docs.google.com/spreadsheets/d/1QqKyyYR6Q21VydFLVH3TRQUabQu_ym0Zz7PgGX0-kHA/edit?usp=sharing"",""แผน!N60"")"),30)</f>
        <v>30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IFERROR(__xludf.DUMMYFUNCTION("IMPORTRANGE(""https://docs.google.com/spreadsheets/d/1QqKyyYR6Q21VydFLVH3TRQUabQu_ym0Zz7PgGX0-kHA/edit?usp=sharing"",""แผน!O60"")"),10)</f>
        <v>10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IFERROR(__xludf.DUMMYFUNCTION("IMPORTRANGE(""https://docs.google.com/spreadsheets/d/1QqKyyYR6Q21VydFLVH3TRQUabQu_ym0Zz7PgGX0-kHA/edit?usp=sharing"",""แผน!O60"")"),10)</f>
        <v>10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IFERROR(__xludf.DUMMYFUNCTION("IMPORTRANGE(""https://docs.google.com/spreadsheets/d/1QqKyyYR6Q21VydFLVH3TRQUabQu_ym0Zz7PgGX0-kHA/edit?usp=sharing"",""แผน!P60"")"),0)</f>
        <v>0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IFERROR(__xludf.DUMMYFUNCTION("IMPORTRANGE(""https://docs.google.com/spreadsheets/d/1QqKyyYR6Q21VydFLVH3TRQUabQu_ym0Zz7PgGX0-kHA/edit?usp=sharing"",""แผน!P60"")"),0)</f>
        <v>0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IFERROR(__xludf.DUMMYFUNCTION("IMPORTRANGE(""https://docs.google.com/spreadsheets/d/1QqKyyYR6Q21VydFLVH3TRQUabQu_ym0Zz7PgGX0-kHA/edit?usp=sharing"",""แผน!Q60"")"),1)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IFERROR(__xludf.DUMMYFUNCTION("IMPORTRANGE(""https://docs.google.com/spreadsheets/d/1QqKyyYR6Q21VydFLVH3TRQUabQu_ym0Zz7PgGX0-kHA/edit?usp=sharing"",""แผน!Q60"")"),1)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IFERROR(__xludf.DUMMYFUNCTION("IMPORTRANGE(""https://docs.google.com/spreadsheets/d/1QqKyyYR6Q21VydFLVH3TRQUabQu_ym0Zz7PgGX0-kHA/edit?usp=sharing"",""แผน!R60"")"),10)</f>
        <v>10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1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IFERROR(__xludf.DUMMYFUNCTION("IMPORTRANGE(""https://docs.google.com/spreadsheets/d/1QqKyyYR6Q21VydFLVH3TRQUabQu_ym0Zz7PgGX0-kHA/edit?usp=sharing"",""แผน!R60"")"),10)</f>
        <v>10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IFERROR(__xludf.DUMMYFUNCTION("IMPORTRANGE(""https://docs.google.com/spreadsheets/d/1QqKyyYR6Q21VydFLVH3TRQUabQu_ym0Zz7PgGX0-kHA/edit?usp=sharing"",""แผน!R60"")"),10)</f>
        <v>10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IFERROR(__xludf.DUMMYFUNCTION("IMPORTRANGE(""https://docs.google.com/spreadsheets/d/1QqKyyYR6Q21VydFLVH3TRQUabQu_ym0Zz7PgGX0-kHA/edit?usp=sharing"",""แผน!S60"")"),0)</f>
        <v>0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IFERROR(__xludf.DUMMYFUNCTION("IMPORTRANGE(""https://docs.google.com/spreadsheets/d/1QqKyyYR6Q21VydFLVH3TRQUabQu_ym0Zz7PgGX0-kHA/edit?usp=sharing"",""แผน!T60"")"),1)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IFERROR(__xludf.DUMMYFUNCTION("IMPORTRANGE(""https://docs.google.com/spreadsheets/d/1MeEWN-I1oV_STSDYn1IFDPWt_1FKiwhDph83XaGc0o0/edit?usp=sharing"",""งบพรบ!BA60"")"),0)</f>
        <v>0</v>
      </c>
      <c r="M124" s="90">
        <f ca="1">IFERROR(__xludf.DUMMYFUNCTION("IMPORTRANGE(""https://docs.google.com/spreadsheets/d/1MeEWN-I1oV_STSDYn1IFDPWt_1FKiwhDph83XaGc0o0/edit?usp=sharing"",""งบพรบ!BF60"")"),0)</f>
        <v>0</v>
      </c>
      <c r="N124" s="90">
        <f ca="1">IFERROR(__xludf.DUMMYFUNCTION("IMPORTRANGE(""https://docs.google.com/spreadsheets/d/1MeEWN-I1oV_STSDYn1IFDPWt_1FKiwhDph83XaGc0o0/edit?usp=sharing"",""งบพรบ!BH60"")"),0)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IFERROR(__xludf.DUMMYFUNCTION("IMPORTRANGE(""https://docs.google.com/spreadsheets/d/1MeEWN-I1oV_STSDYn1IFDPWt_1FKiwhDph83XaGc0o0/edit?usp=sharing"",""งบพรบ!BD60"")"),0)</f>
        <v>0</v>
      </c>
      <c r="M127" s="90">
        <f ca="1">IFERROR(__xludf.DUMMYFUNCTION("IMPORTRANGE(""https://docs.google.com/spreadsheets/d/1MeEWN-I1oV_STSDYn1IFDPWt_1FKiwhDph83XaGc0o0/edit?usp=sharing"",""งบพรบ!BG60"")"),0)</f>
        <v>0</v>
      </c>
      <c r="N127" s="90">
        <f ca="1">IFERROR(__xludf.DUMMYFUNCTION("IMPORTRANGE(""https://docs.google.com/spreadsheets/d/1MeEWN-I1oV_STSDYn1IFDPWt_1FKiwhDph83XaGc0o0/edit?usp=sharing"",""งบพรบ!BI60"")"),0)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IFERROR(__xludf.DUMMYFUNCTION("IMPORTRANGE(""https://docs.google.com/spreadsheets/d/1MeEWN-I1oV_STSDYn1IFDPWt_1FKiwhDph83XaGc0o0/edit?usp=sharing"",""งบพรบ!BK60"")"),0)</f>
        <v>0</v>
      </c>
      <c r="M137" s="90">
        <f ca="1">IFERROR(__xludf.DUMMYFUNCTION("IMPORTRANGE(""https://docs.google.com/spreadsheets/d/1MeEWN-I1oV_STSDYn1IFDPWt_1FKiwhDph83XaGc0o0/edit?usp=sharing"",""งบพรบ!BP60"")"),0)</f>
        <v>0</v>
      </c>
      <c r="N137" s="90">
        <f ca="1">IFERROR(__xludf.DUMMYFUNCTION("IMPORTRANGE(""https://docs.google.com/spreadsheets/d/1MeEWN-I1oV_STSDYn1IFDPWt_1FKiwhDph83XaGc0o0/edit?usp=sharing"",""งบพรบ!BR60"")"),0)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IFERROR(__xludf.DUMMYFUNCTION("IMPORTRANGE(""https://docs.google.com/spreadsheets/d/1MeEWN-I1oV_STSDYn1IFDPWt_1FKiwhDph83XaGc0o0/edit?usp=sharing"",""งบพรบ!BN60"")"),0)</f>
        <v>0</v>
      </c>
      <c r="M140" s="90">
        <f ca="1">IFERROR(__xludf.DUMMYFUNCTION("IMPORTRANGE(""https://docs.google.com/spreadsheets/d/1MeEWN-I1oV_STSDYn1IFDPWt_1FKiwhDph83XaGc0o0/edit?usp=sharing"",""งบพรบ!BQ60"")"),0)</f>
        <v>0</v>
      </c>
      <c r="N140" s="90">
        <f ca="1">IFERROR(__xludf.DUMMYFUNCTION("IMPORTRANGE(""https://docs.google.com/spreadsheets/d/1MeEWN-I1oV_STSDYn1IFDPWt_1FKiwhDph83XaGc0o0/edit?usp=sharing"",""งบพรบ!BS60"")"),0)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IFERROR(__xludf.DUMMYFUNCTION("IMPORTRANGE(""https://docs.google.com/spreadsheets/d/1QqKyyYR6Q21VydFLVH3TRQUabQu_ym0Zz7PgGX0-kHA/edit?usp=sharing"",""แผน!U60"")"),0)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IFERROR(__xludf.DUMMYFUNCTION("IMPORTRANGE(""https://docs.google.com/spreadsheets/d/1QqKyyYR6Q21VydFLVH3TRQUabQu_ym0Zz7PgGX0-kHA/edit?usp=sharing"",""แผน!V60"")"),0)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IFERROR(__xludf.DUMMYFUNCTION("IMPORTRANGE(""https://docs.google.com/spreadsheets/d/1QqKyyYR6Q21VydFLVH3TRQUabQu_ym0Zz7PgGX0-kHA/edit?usp=sharing"",""แผน!W60"")"),0)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IFERROR(__xludf.DUMMYFUNCTION("IMPORTRANGE(""https://docs.google.com/spreadsheets/d/1MeEWN-I1oV_STSDYn1IFDPWt_1FKiwhDph83XaGc0o0/edit?usp=sharing"",""งบพรบ!BU60"")"),0)</f>
        <v>0</v>
      </c>
      <c r="M154" s="90">
        <f ca="1">IFERROR(__xludf.DUMMYFUNCTION("IMPORTRANGE(""https://docs.google.com/spreadsheets/d/1MeEWN-I1oV_STSDYn1IFDPWt_1FKiwhDph83XaGc0o0/edit?usp=sharing"",""งบพรบ!BZ60"")"),0)</f>
        <v>0</v>
      </c>
      <c r="N154" s="90">
        <f ca="1">IFERROR(__xludf.DUMMYFUNCTION("IMPORTRANGE(""https://docs.google.com/spreadsheets/d/1MeEWN-I1oV_STSDYn1IFDPWt_1FKiwhDph83XaGc0o0/edit?usp=sharing"",""งบพรบ!CB60"")"),0)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IFERROR(__xludf.DUMMYFUNCTION("IMPORTRANGE(""https://docs.google.com/spreadsheets/d/1MeEWN-I1oV_STSDYn1IFDPWt_1FKiwhDph83XaGc0o0/edit?usp=sharing"",""งบพรบ!BX60"")"),0)</f>
        <v>0</v>
      </c>
      <c r="M157" s="90">
        <f ca="1">IFERROR(__xludf.DUMMYFUNCTION("IMPORTRANGE(""https://docs.google.com/spreadsheets/d/1MeEWN-I1oV_STSDYn1IFDPWt_1FKiwhDph83XaGc0o0/edit?usp=sharing"",""งบพรบ!CA60"")"),0)</f>
        <v>0</v>
      </c>
      <c r="N157" s="90">
        <f ca="1">IFERROR(__xludf.DUMMYFUNCTION("IMPORTRANGE(""https://docs.google.com/spreadsheets/d/1MeEWN-I1oV_STSDYn1IFDPWt_1FKiwhDph83XaGc0o0/edit?usp=sharing"",""งบพรบ!CC60"")"),0)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IFERROR(__xludf.DUMMYFUNCTION("IMPORTRANGE(""https://docs.google.com/spreadsheets/d/1QqKyyYR6Q21VydFLVH3TRQUabQu_ym0Zz7PgGX0-kHA/edit?usp=sharing"",""แผน!X60"")"),0)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11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22055</v>
      </c>
      <c r="M165" s="150">
        <f t="shared" ca="1" si="84"/>
        <v>22055</v>
      </c>
      <c r="N165" s="150">
        <f t="shared" ca="1" si="84"/>
        <v>8065</v>
      </c>
      <c r="O165" s="150">
        <f t="shared" ref="O165:O173" ca="1" si="85">IF(L165&gt;0,N165*100/L165,0)</f>
        <v>36.567671729766495</v>
      </c>
      <c r="P165" s="150">
        <f t="shared" ref="P165:P173" ca="1" si="86">IF(M165&gt;0,N165*100/M165,0)</f>
        <v>36.567671729766495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22055</v>
      </c>
      <c r="M167" s="90">
        <f t="shared" ca="1" si="87"/>
        <v>22055</v>
      </c>
      <c r="N167" s="90">
        <f t="shared" ca="1" si="87"/>
        <v>8065</v>
      </c>
      <c r="O167" s="90">
        <f t="shared" ca="1" si="85"/>
        <v>36.567671729766495</v>
      </c>
      <c r="P167" s="90">
        <f t="shared" ca="1" si="86"/>
        <v>36.567671729766495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22055</v>
      </c>
      <c r="M168" s="495">
        <f t="shared" ca="1" si="88"/>
        <v>22055</v>
      </c>
      <c r="N168" s="495">
        <f t="shared" ca="1" si="88"/>
        <v>8065</v>
      </c>
      <c r="O168" s="495">
        <f t="shared" ca="1" si="85"/>
        <v>36.567671729766495</v>
      </c>
      <c r="P168" s="495">
        <f t="shared" ca="1" si="86"/>
        <v>36.567671729766495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IFERROR(__xludf.DUMMYFUNCTION("IMPORTRANGE(""https://docs.google.com/spreadsheets/d/1MeEWN-I1oV_STSDYn1IFDPWt_1FKiwhDph83XaGc0o0/edit?usp=sharing"",""งบพรบ!CE60"")"),22055)</f>
        <v>22055</v>
      </c>
      <c r="M170" s="90">
        <f ca="1">IFERROR(__xludf.DUMMYFUNCTION("IMPORTRANGE(""https://docs.google.com/spreadsheets/d/1MeEWN-I1oV_STSDYn1IFDPWt_1FKiwhDph83XaGc0o0/edit?usp=sharing"",""งบพรบ!CJ60"")"),22055)</f>
        <v>22055</v>
      </c>
      <c r="N170" s="90">
        <f ca="1">IFERROR(__xludf.DUMMYFUNCTION("IMPORTRANGE(""https://docs.google.com/spreadsheets/d/1MeEWN-I1oV_STSDYn1IFDPWt_1FKiwhDph83XaGc0o0/edit?usp=sharing"",""งบพรบ!CL60"")"),8065)</f>
        <v>8065</v>
      </c>
      <c r="O170" s="90">
        <f t="shared" ca="1" si="85"/>
        <v>36.567671729766495</v>
      </c>
      <c r="P170" s="90">
        <f t="shared" ca="1" si="86"/>
        <v>36.567671729766495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IFERROR(__xludf.DUMMYFUNCTION("IMPORTRANGE(""https://docs.google.com/spreadsheets/d/1MeEWN-I1oV_STSDYn1IFDPWt_1FKiwhDph83XaGc0o0/edit?usp=sharing"",""งบพรบ!CH60"")"),0)</f>
        <v>0</v>
      </c>
      <c r="M173" s="90">
        <f ca="1">IFERROR(__xludf.DUMMYFUNCTION("IMPORTRANGE(""https://docs.google.com/spreadsheets/d/1MeEWN-I1oV_STSDYn1IFDPWt_1FKiwhDph83XaGc0o0/edit?usp=sharing"",""งบพรบ!CK60"")"),0)</f>
        <v>0</v>
      </c>
      <c r="N173" s="90">
        <f ca="1">IFERROR(__xludf.DUMMYFUNCTION("IMPORTRANGE(""https://docs.google.com/spreadsheets/d/1MeEWN-I1oV_STSDYn1IFDPWt_1FKiwhDph83XaGc0o0/edit?usp=sharing"",""งบพรบ!CM60"")"),0)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11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IFERROR(__xludf.DUMMYFUNCTION("IMPORTRANGE(""https://docs.google.com/spreadsheets/d/1QqKyyYR6Q21VydFLVH3TRQUabQu_ym0Zz7PgGX0-kHA/edit?usp=sharing"",""แผน!Y60"")"),11)</f>
        <v>11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449450</v>
      </c>
      <c r="M181" s="150">
        <f t="shared" ca="1" si="91"/>
        <v>218550</v>
      </c>
      <c r="N181" s="150">
        <f t="shared" ca="1" si="91"/>
        <v>72341.34</v>
      </c>
      <c r="O181" s="150">
        <f t="shared" ref="O181:O189" ca="1" si="92">IF(L181&gt;0,N181*100/L181,0)</f>
        <v>16.095525642451886</v>
      </c>
      <c r="P181" s="150">
        <f t="shared" ref="P181:P189" ca="1" si="93">IF(M181&gt;0,N181*100/M181,0)</f>
        <v>33.100590253946464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449450</v>
      </c>
      <c r="M183" s="90">
        <f t="shared" ca="1" si="94"/>
        <v>218550</v>
      </c>
      <c r="N183" s="90">
        <f t="shared" ca="1" si="94"/>
        <v>72341.34</v>
      </c>
      <c r="O183" s="90">
        <f t="shared" ca="1" si="92"/>
        <v>16.095525642451886</v>
      </c>
      <c r="P183" s="90">
        <f t="shared" ca="1" si="93"/>
        <v>33.100590253946464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449450</v>
      </c>
      <c r="M184" s="495">
        <f t="shared" ca="1" si="95"/>
        <v>218550</v>
      </c>
      <c r="N184" s="495">
        <f t="shared" ca="1" si="95"/>
        <v>72341.34</v>
      </c>
      <c r="O184" s="495">
        <f t="shared" ca="1" si="92"/>
        <v>16.095525642451886</v>
      </c>
      <c r="P184" s="495">
        <f t="shared" ca="1" si="93"/>
        <v>33.100590253946464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IFERROR(__xludf.DUMMYFUNCTION("IMPORTRANGE(""https://docs.google.com/spreadsheets/d/1MeEWN-I1oV_STSDYn1IFDPWt_1FKiwhDph83XaGc0o0/edit?usp=sharing"",""งบพรบ!CO60"")"),449450)</f>
        <v>449450</v>
      </c>
      <c r="M186" s="90">
        <f ca="1">IFERROR(__xludf.DUMMYFUNCTION("IMPORTRANGE(""https://docs.google.com/spreadsheets/d/1MeEWN-I1oV_STSDYn1IFDPWt_1FKiwhDph83XaGc0o0/edit?usp=sharing"",""งบพรบ!CT60"")"),218550)</f>
        <v>218550</v>
      </c>
      <c r="N186" s="90">
        <f ca="1">IFERROR(__xludf.DUMMYFUNCTION("IMPORTRANGE(""https://docs.google.com/spreadsheets/d/1MeEWN-I1oV_STSDYn1IFDPWt_1FKiwhDph83XaGc0o0/edit?usp=sharing"",""งบพรบ!CV60"")"),72341.34)</f>
        <v>72341.34</v>
      </c>
      <c r="O186" s="90">
        <f t="shared" ca="1" si="92"/>
        <v>16.095525642451886</v>
      </c>
      <c r="P186" s="90">
        <f t="shared" ca="1" si="93"/>
        <v>33.100590253946464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IFERROR(__xludf.DUMMYFUNCTION("IMPORTRANGE(""https://docs.google.com/spreadsheets/d/1MeEWN-I1oV_STSDYn1IFDPWt_1FKiwhDph83XaGc0o0/edit?usp=sharing"",""งบพรบ!CR60"")"),0)</f>
        <v>0</v>
      </c>
      <c r="M189" s="90">
        <f ca="1">IFERROR(__xludf.DUMMYFUNCTION("IMPORTRANGE(""https://docs.google.com/spreadsheets/d/1MeEWN-I1oV_STSDYn1IFDPWt_1FKiwhDph83XaGc0o0/edit?usp=sharing"",""งบพรบ!CU60"")"),0)</f>
        <v>0</v>
      </c>
      <c r="N189" s="90">
        <f ca="1">IFERROR(__xludf.DUMMYFUNCTION("IMPORTRANGE(""https://docs.google.com/spreadsheets/d/1MeEWN-I1oV_STSDYn1IFDPWt_1FKiwhDph83XaGc0o0/edit?usp=sharing"",""งบพรบ!CW60"")"),0)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IFERROR(__xludf.DUMMYFUNCTION("IMPORTRANGE(""https://docs.google.com/spreadsheets/d/1QqKyyYR6Q21VydFLVH3TRQUabQu_ym0Zz7PgGX0-kHA/edit?usp=sharing"",""แผน!Z60"")"),6000)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IFERROR(__xludf.DUMMYFUNCTION("IMPORTRANGE(""https://docs.google.com/spreadsheets/d/1QqKyyYR6Q21VydFLVH3TRQUabQu_ym0Zz7PgGX0-kHA/edit?usp=sharing"",""แผน!AC60"")"),4)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 hidden="1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0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 hidden="1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 hidden="1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IFERROR(__xludf.DUMMYFUNCTION("IMPORTRANGE(""https://docs.google.com/spreadsheets/d/1QqKyyYR6Q21VydFLVH3TRQUabQu_ym0Zz7PgGX0-kHA/edit?usp=sharing"",""แผน!AE60"")"),0)</f>
        <v>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 hidden="1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IFERROR(__xludf.DUMMYFUNCTION("IMPORTRANGE(""https://docs.google.com/spreadsheets/d/1QqKyyYR6Q21VydFLVH3TRQUabQu_ym0Zz7PgGX0-kHA/edit?usp=sharing"",""แผน!AF60"")"),0)</f>
        <v>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 hidden="1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IFERROR(__xludf.DUMMYFUNCTION("IMPORTRANGE(""https://docs.google.com/spreadsheets/d/1QqKyyYR6Q21VydFLVH3TRQUabQu_ym0Zz7PgGX0-kHA/edit?usp=sharing"",""แผน!AG60"")"),0)</f>
        <v>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 hidden="1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IFERROR(__xludf.DUMMYFUNCTION("IMPORTRANGE(""https://docs.google.com/spreadsheets/d/1QqKyyYR6Q21VydFLVH3TRQUabQu_ym0Zz7PgGX0-kHA/edit?usp=sharing"",""แผน!AH60"")"),0)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 hidden="1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 hidden="1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IFERROR(__xludf.DUMMYFUNCTION("IMPORTRANGE(""https://docs.google.com/spreadsheets/d/1QqKyyYR6Q21VydFLVH3TRQUabQu_ym0Zz7PgGX0-kHA/edit?usp=sharing"",""แผน!AI60"")"),0)</f>
        <v>0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 hidden="1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 hidden="1">
      <c r="A206" s="166"/>
      <c r="B206" s="167"/>
      <c r="C206" s="167"/>
      <c r="D206" s="174"/>
      <c r="E206" s="445" t="s">
        <v>343</v>
      </c>
      <c r="F206" s="174"/>
      <c r="G206" s="175"/>
      <c r="H206" s="752" t="s">
        <v>96</v>
      </c>
      <c r="I206" s="264"/>
      <c r="J206" s="210">
        <v>0</v>
      </c>
      <c r="K206" s="159"/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 hidden="1">
      <c r="A207" s="166"/>
      <c r="B207" s="167"/>
      <c r="C207" s="167"/>
      <c r="D207" s="445"/>
      <c r="E207" s="445" t="s">
        <v>344</v>
      </c>
      <c r="F207" s="174"/>
      <c r="G207" s="175"/>
      <c r="H207" s="754" t="s">
        <v>69</v>
      </c>
      <c r="I207" s="264"/>
      <c r="J207" s="210">
        <v>0</v>
      </c>
      <c r="K207" s="159"/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99">I215</f>
        <v>0</v>
      </c>
      <c r="J208" s="266">
        <f t="shared" si="99"/>
        <v>0</v>
      </c>
      <c r="K208" s="267">
        <f ca="1">IF(I208&gt;0,J208*100/I208,0)</f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IFERROR(__xludf.DUMMYFUNCTION("IMPORTRANGE(""https://docs.google.com/spreadsheets/d/1QqKyyYR6Q21VydFLVH3TRQUabQu_ym0Zz7PgGX0-kHA/edit?usp=sharing"",""แผน!AK60"")"),0)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IFERROR(__xludf.DUMMYFUNCTION("IMPORTRANGE(""https://docs.google.com/spreadsheets/d/1QqKyyYR6Q21VydFLVH3TRQUabQu_ym0Zz7PgGX0-kHA/edit?usp=sharing"",""แผน!AL60"")"),0)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IFERROR(__xludf.DUMMYFUNCTION("IMPORTRANGE(""https://docs.google.com/spreadsheets/d/1QqKyyYR6Q21VydFLVH3TRQUabQu_ym0Zz7PgGX0-kHA/edit?usp=sharing"",""แผน!AM60"")"),0)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IFERROR(__xludf.DUMMYFUNCTION("IMPORTRANGE(""https://docs.google.com/spreadsheets/d/1QqKyyYR6Q21VydFLVH3TRQUabQu_ym0Zz7PgGX0-kHA/edit?usp=sharing"",""แผน!AN60"")"),0)</f>
        <v>0</v>
      </c>
      <c r="J214" s="210">
        <v>0</v>
      </c>
      <c r="K214" s="495">
        <f t="shared" ref="K214:K216" ca="1" si="100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IFERROR(__xludf.DUMMYFUNCTION("IMPORTRANGE(""https://docs.google.com/spreadsheets/d/1QqKyyYR6Q21VydFLVH3TRQUabQu_ym0Zz7PgGX0-kHA/edit?usp=sharing"",""แผน!AN60"")"),0)</f>
        <v>0</v>
      </c>
      <c r="J215" s="210">
        <v>0</v>
      </c>
      <c r="K215" s="495">
        <f t="shared" ca="1" si="100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1">I224</f>
        <v>5000</v>
      </c>
      <c r="J216" s="266">
        <f t="shared" si="101"/>
        <v>0</v>
      </c>
      <c r="K216" s="267">
        <f t="shared" ca="1" si="100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5900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IFERROR(__xludf.DUMMYFUNCTION("IMPORTRANGE(""https://docs.google.com/spreadsheets/d/1QqKyyYR6Q21VydFLVH3TRQUabQu_ym0Zz7PgGX0-kHA/edit?usp=sharing"",""แผน!AP60"")"),3000)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IFERROR(__xludf.DUMMYFUNCTION("IMPORTRANGE(""https://docs.google.com/spreadsheets/d/1QqKyyYR6Q21VydFLVH3TRQUabQu_ym0Zz7PgGX0-kHA/edit?usp=sharing"",""แผน!AQ60"")"),2900)</f>
        <v>2900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IFERROR(__xludf.DUMMYFUNCTION("IMPORTRANGE(""https://docs.google.com/spreadsheets/d/1QqKyyYR6Q21VydFLVH3TRQUabQu_ym0Zz7PgGX0-kHA/edit?usp=sharing"",""แผน!AR60"")"),0)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IFERROR(__xludf.DUMMYFUNCTION("IMPORTRANGE(""https://docs.google.com/spreadsheets/d/1QqKyyYR6Q21VydFLVH3TRQUabQu_ym0Zz7PgGX0-kHA/edit?usp=sharing"",""แผน!AT60"")"),5000)</f>
        <v>5000</v>
      </c>
      <c r="J223" s="210">
        <v>0</v>
      </c>
      <c r="K223" s="159">
        <f t="shared" ref="K223:K226" ca="1" si="102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IFERROR(__xludf.DUMMYFUNCTION("IMPORTRANGE(""https://docs.google.com/spreadsheets/d/1QqKyyYR6Q21VydFLVH3TRQUabQu_ym0Zz7PgGX0-kHA/edit?usp=sharing"",""แผน!AT60"")"),5000)</f>
        <v>5000</v>
      </c>
      <c r="J224" s="210">
        <v>0</v>
      </c>
      <c r="K224" s="159">
        <f t="shared" ca="1" si="102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IFERROR(__xludf.DUMMYFUNCTION("IMPORTRANGE(""https://docs.google.com/spreadsheets/d/1QqKyyYR6Q21VydFLVH3TRQUabQu_ym0Zz7PgGX0-kHA/edit?usp=sharing"",""แผน!AS60"")"),0)</f>
        <v>0</v>
      </c>
      <c r="J225" s="210">
        <v>0</v>
      </c>
      <c r="K225" s="159">
        <f t="shared" ca="1" si="102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3">I237+I248</f>
        <v>#VALUE!</v>
      </c>
      <c r="J226" s="340">
        <f t="shared" si="103"/>
        <v>0</v>
      </c>
      <c r="K226" s="341" t="e">
        <f t="shared" ca="1" si="102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4">L238+L249</f>
        <v>56550</v>
      </c>
      <c r="M227" s="351"/>
      <c r="N227" s="351">
        <f t="shared" ref="N227:N231" si="105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4"/>
        <v>20000</v>
      </c>
      <c r="M228" s="90"/>
      <c r="N228" s="90">
        <f t="shared" si="105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4"/>
        <v>16550</v>
      </c>
      <c r="M229" s="90"/>
      <c r="N229" s="90">
        <f t="shared" si="105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4"/>
        <v>10000</v>
      </c>
      <c r="M230" s="90"/>
      <c r="N230" s="90">
        <f t="shared" si="105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4"/>
        <v>10000</v>
      </c>
      <c r="M231" s="90"/>
      <c r="N231" s="90">
        <f t="shared" si="105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6">I244+I255</f>
        <v>#VALUE!</v>
      </c>
      <c r="J233" s="609">
        <f t="shared" si="106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7">I246+I257</f>
        <v>15</v>
      </c>
      <c r="J235" s="609">
        <f t="shared" si="107"/>
        <v>0</v>
      </c>
      <c r="K235" s="90">
        <f t="shared" ref="K235:K237" si="108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7"/>
        <v>1</v>
      </c>
      <c r="J236" s="609">
        <f t="shared" si="107"/>
        <v>0</v>
      </c>
      <c r="K236" s="90">
        <f t="shared" si="108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341</v>
      </c>
      <c r="D237" s="251"/>
      <c r="E237" s="251"/>
      <c r="F237" s="251"/>
      <c r="G237" s="253"/>
      <c r="H237" s="254" t="s">
        <v>35</v>
      </c>
      <c r="I237" s="266">
        <f t="shared" ref="I237:J237" ca="1" si="109">I244</f>
        <v>15</v>
      </c>
      <c r="J237" s="266">
        <f t="shared" si="109"/>
        <v>0</v>
      </c>
      <c r="K237" s="267">
        <f t="shared" ca="1" si="108"/>
        <v>0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56550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IFERROR(__xludf.DUMMYFUNCTION("IMPORTRANGE(""https://docs.google.com/spreadsheets/d/1QqKyyYR6Q21VydFLVH3TRQUabQu_ym0Zz7PgGX0-kHA/edit?usp=sharing"",""แผน!AV60"")"),20000)</f>
        <v>20000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IFERROR(__xludf.DUMMYFUNCTION("IMPORTRANGE(""https://docs.google.com/spreadsheets/d/1QqKyyYR6Q21VydFLVH3TRQUabQu_ym0Zz7PgGX0-kHA/edit?usp=sharing"",""แผน!AW60"")"),16550)</f>
        <v>16550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IFERROR(__xludf.DUMMYFUNCTION("IMPORTRANGE(""https://docs.google.com/spreadsheets/d/1QqKyyYR6Q21VydFLVH3TRQUabQu_ym0Zz7PgGX0-kHA/edit?usp=sharing"",""แผน!AX60"")"),10000)</f>
        <v>10000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IFERROR(__xludf.DUMMYFUNCTION("IMPORTRANGE(""https://docs.google.com/spreadsheets/d/1QqKyyYR6Q21VydFLVH3TRQUabQu_ym0Zz7PgGX0-kHA/edit?usp=sharing"",""แผน!AY60"")"),10000)</f>
        <v>10000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IFERROR(__xludf.DUMMYFUNCTION("IMPORTRANGE(""https://docs.google.com/spreadsheets/d/1QqKyyYR6Q21VydFLVH3TRQUabQu_ym0Zz7PgGX0-kHA/edit?usp=sharing"",""แผน!BE60"")"),15)</f>
        <v>15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15</v>
      </c>
      <c r="J246" s="210">
        <v>0</v>
      </c>
      <c r="K246" s="495">
        <f t="shared" ref="K246:K248" si="110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0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1">I255</f>
        <v/>
      </c>
      <c r="J248" s="266">
        <f t="shared" si="111"/>
        <v>0</v>
      </c>
      <c r="K248" s="267" t="e">
        <f t="shared" ca="1" si="110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IFERROR(__xludf.DUMMYFUNCTION("IMPORTRANGE(""https://docs.google.com/spreadsheets/d/1QqKyyYR6Q21VydFLVH3TRQUabQu_ym0Zz7PgGX0-kHA/edit?usp=sharing"",""แผน!AZ60"")"),0)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IFERROR(__xludf.DUMMYFUNCTION("IMPORTRANGE(""https://docs.google.com/spreadsheets/d/1QqKyyYR6Q21VydFLVH3TRQUabQu_ym0Zz7PgGX0-kHA/edit?usp=sharing"",""แผน!BA60"")"),0)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IFERROR(__xludf.DUMMYFUNCTION("IMPORTRANGE(""https://docs.google.com/spreadsheets/d/1QqKyyYR6Q21VydFLVH3TRQUabQu_ym0Zz7PgGX0-kHA/edit?usp=sharing"",""แผน!BB60"")"),0)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IFERROR(__xludf.DUMMYFUNCTION("IMPORTRANGE(""https://docs.google.com/spreadsheets/d/1QqKyyYR6Q21VydFLVH3TRQUabQu_ym0Zz7PgGX0-kHA/edit?usp=sharing"",""แผน!BC60"")"),0)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IFERROR(__xludf.DUMMYFUNCTION("IMPORTRANGE(""https://docs.google.com/spreadsheets/d/1QqKyyYR6Q21VydFLVH3TRQUabQu_ym0Zz7PgGX0-kHA/edit?usp=sharing"",""แผน!BF60"")"),"")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2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2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3">I271</f>
        <v>20</v>
      </c>
      <c r="J260" s="371">
        <f t="shared" si="113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4">L262+L263</f>
        <v>25000</v>
      </c>
      <c r="M261" s="151">
        <f t="shared" ca="1" si="114"/>
        <v>0</v>
      </c>
      <c r="N261" s="151">
        <f t="shared" ca="1" si="114"/>
        <v>0</v>
      </c>
      <c r="O261" s="151">
        <f t="shared" ref="O261:O269" ca="1" si="115">IF(L261&gt;0,N261*100/L261,0)</f>
        <v>0</v>
      </c>
      <c r="P261" s="151">
        <f t="shared" ref="P261:P269" ca="1" si="116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7">L265+L268</f>
        <v>0</v>
      </c>
      <c r="M262" s="90">
        <f t="shared" si="117"/>
        <v>0</v>
      </c>
      <c r="N262" s="90">
        <f t="shared" si="117"/>
        <v>0</v>
      </c>
      <c r="O262" s="90">
        <f t="shared" si="115"/>
        <v>0</v>
      </c>
      <c r="P262" s="90">
        <f t="shared" si="116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7"/>
        <v>25000</v>
      </c>
      <c r="M263" s="90">
        <f t="shared" ca="1" si="117"/>
        <v>0</v>
      </c>
      <c r="N263" s="90">
        <f t="shared" ca="1" si="117"/>
        <v>0</v>
      </c>
      <c r="O263" s="90">
        <f t="shared" ca="1" si="115"/>
        <v>0</v>
      </c>
      <c r="P263" s="90">
        <f t="shared" ca="1" si="116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8">L265+L266</f>
        <v>25000</v>
      </c>
      <c r="M264" s="495">
        <f t="shared" ca="1" si="118"/>
        <v>0</v>
      </c>
      <c r="N264" s="495">
        <f t="shared" ca="1" si="118"/>
        <v>0</v>
      </c>
      <c r="O264" s="495">
        <f t="shared" ca="1" si="115"/>
        <v>0</v>
      </c>
      <c r="P264" s="495">
        <f t="shared" ca="1" si="116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5"/>
        <v>0</v>
      </c>
      <c r="P265" s="90">
        <f t="shared" si="116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IFERROR(__xludf.DUMMYFUNCTION("IMPORTRANGE(""https://docs.google.com/spreadsheets/d/1MeEWN-I1oV_STSDYn1IFDPWt_1FKiwhDph83XaGc0o0/edit?usp=sharing"",""งบพรบ!CY60"")"),25000)</f>
        <v>25000</v>
      </c>
      <c r="M266" s="90">
        <f ca="1">IFERROR(__xludf.DUMMYFUNCTION("IMPORTRANGE(""https://docs.google.com/spreadsheets/d/1MeEWN-I1oV_STSDYn1IFDPWt_1FKiwhDph83XaGc0o0/edit?usp=sharing"",""งบพรบ!DD60"")"),0)</f>
        <v>0</v>
      </c>
      <c r="N266" s="90">
        <f ca="1">IFERROR(__xludf.DUMMYFUNCTION("IMPORTRANGE(""https://docs.google.com/spreadsheets/d/1MeEWN-I1oV_STSDYn1IFDPWt_1FKiwhDph83XaGc0o0/edit?usp=sharing"",""งบพรบ!DF60"")"),0)</f>
        <v>0</v>
      </c>
      <c r="O266" s="90">
        <f t="shared" ca="1" si="115"/>
        <v>0</v>
      </c>
      <c r="P266" s="90">
        <f t="shared" ca="1" si="116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19">L268+L269</f>
        <v>0</v>
      </c>
      <c r="M267" s="495">
        <f t="shared" ca="1" si="119"/>
        <v>0</v>
      </c>
      <c r="N267" s="495">
        <f t="shared" ca="1" si="119"/>
        <v>0</v>
      </c>
      <c r="O267" s="495">
        <f t="shared" ca="1" si="115"/>
        <v>0</v>
      </c>
      <c r="P267" s="495">
        <f t="shared" ca="1" si="116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5"/>
        <v>0</v>
      </c>
      <c r="P268" s="90">
        <f t="shared" si="116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IFERROR(__xludf.DUMMYFUNCTION("IMPORTRANGE(""https://docs.google.com/spreadsheets/d/1MeEWN-I1oV_STSDYn1IFDPWt_1FKiwhDph83XaGc0o0/edit?usp=sharing"",""งบพรบ!DB60"")"),0)</f>
        <v>0</v>
      </c>
      <c r="M269" s="90">
        <f ca="1">IFERROR(__xludf.DUMMYFUNCTION("IMPORTRANGE(""https://docs.google.com/spreadsheets/d/1MeEWN-I1oV_STSDYn1IFDPWt_1FKiwhDph83XaGc0o0/edit?usp=sharing"",""งบพรบ!DE60"")"),0)</f>
        <v>0</v>
      </c>
      <c r="N269" s="90">
        <f ca="1">IFERROR(__xludf.DUMMYFUNCTION("IMPORTRANGE(""https://docs.google.com/spreadsheets/d/1MeEWN-I1oV_STSDYn1IFDPWt_1FKiwhDph83XaGc0o0/edit?usp=sharing"",""งบพรบ!DG60"")"),0)</f>
        <v>0</v>
      </c>
      <c r="O269" s="90">
        <f t="shared" ca="1" si="115"/>
        <v>0</v>
      </c>
      <c r="P269" s="90">
        <f t="shared" ca="1" si="116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IFERROR(__xludf.DUMMYFUNCTION("IMPORTRANGE(""https://docs.google.com/spreadsheets/d/1QqKyyYR6Q21VydFLVH3TRQUabQu_ym0Zz7PgGX0-kHA/edit?usp=sharing"",""แผน!EA60"")"),20)</f>
        <v>20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0">I288</f>
        <v>0</v>
      </c>
      <c r="J275" s="403">
        <f t="shared" ca="1" si="120"/>
        <v>0</v>
      </c>
      <c r="K275" s="404">
        <f t="shared" ref="K275:K276" ca="1" si="121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2">I287</f>
        <v>0</v>
      </c>
      <c r="J276" s="407">
        <f t="shared" si="122"/>
        <v>0</v>
      </c>
      <c r="K276" s="405">
        <f t="shared" ca="1" si="121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3">L278+L279</f>
        <v>0</v>
      </c>
      <c r="M277" s="151">
        <f t="shared" ca="1" si="123"/>
        <v>0</v>
      </c>
      <c r="N277" s="151">
        <f t="shared" ca="1" si="123"/>
        <v>0</v>
      </c>
      <c r="O277" s="151">
        <f t="shared" ref="O277:O285" ca="1" si="124">IF(L277&gt;0,N277*100/L277,0)</f>
        <v>0</v>
      </c>
      <c r="P277" s="151">
        <f t="shared" ref="P277:P285" ca="1" si="125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6">L281+L284</f>
        <v>0</v>
      </c>
      <c r="M278" s="90">
        <f t="shared" si="126"/>
        <v>0</v>
      </c>
      <c r="N278" s="90">
        <f t="shared" si="126"/>
        <v>0</v>
      </c>
      <c r="O278" s="90">
        <f t="shared" si="124"/>
        <v>0</v>
      </c>
      <c r="P278" s="90">
        <f t="shared" si="125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6"/>
        <v>0</v>
      </c>
      <c r="M279" s="90">
        <f t="shared" ca="1" si="126"/>
        <v>0</v>
      </c>
      <c r="N279" s="90">
        <f t="shared" ca="1" si="126"/>
        <v>0</v>
      </c>
      <c r="O279" s="90">
        <f t="shared" ca="1" si="124"/>
        <v>0</v>
      </c>
      <c r="P279" s="90">
        <f t="shared" ca="1" si="125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7">L281+L282</f>
        <v>0</v>
      </c>
      <c r="M280" s="495">
        <f t="shared" ca="1" si="127"/>
        <v>0</v>
      </c>
      <c r="N280" s="495">
        <f t="shared" ca="1" si="127"/>
        <v>0</v>
      </c>
      <c r="O280" s="495">
        <f t="shared" ca="1" si="124"/>
        <v>0</v>
      </c>
      <c r="P280" s="495">
        <f t="shared" ca="1" si="125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4"/>
        <v>0</v>
      </c>
      <c r="P281" s="90">
        <f t="shared" si="125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IFERROR(__xludf.DUMMYFUNCTION("IMPORTRANGE(""https://docs.google.com/spreadsheets/d/1MeEWN-I1oV_STSDYn1IFDPWt_1FKiwhDph83XaGc0o0/edit?usp=sharing"",""งบพรบ!DI60"")"),0)</f>
        <v>0</v>
      </c>
      <c r="M282" s="90">
        <f ca="1">IFERROR(__xludf.DUMMYFUNCTION("IMPORTRANGE(""https://docs.google.com/spreadsheets/d/1MeEWN-I1oV_STSDYn1IFDPWt_1FKiwhDph83XaGc0o0/edit?usp=sharing"",""งบพรบ!DN60"")"),0)</f>
        <v>0</v>
      </c>
      <c r="N282" s="90">
        <f ca="1">IFERROR(__xludf.DUMMYFUNCTION("IMPORTRANGE(""https://docs.google.com/spreadsheets/d/1MeEWN-I1oV_STSDYn1IFDPWt_1FKiwhDph83XaGc0o0/edit?usp=sharing"",""งบพรบ!DP60"")"),0)</f>
        <v>0</v>
      </c>
      <c r="O282" s="90">
        <f t="shared" ca="1" si="124"/>
        <v>0</v>
      </c>
      <c r="P282" s="90">
        <f t="shared" ca="1" si="125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8">L284+L285</f>
        <v>0</v>
      </c>
      <c r="M283" s="495">
        <f t="shared" ca="1" si="128"/>
        <v>0</v>
      </c>
      <c r="N283" s="495">
        <f t="shared" ca="1" si="128"/>
        <v>0</v>
      </c>
      <c r="O283" s="495">
        <f t="shared" ca="1" si="124"/>
        <v>0</v>
      </c>
      <c r="P283" s="495">
        <f t="shared" ca="1" si="125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4"/>
        <v>0</v>
      </c>
      <c r="P284" s="90">
        <f t="shared" si="125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IFERROR(__xludf.DUMMYFUNCTION("IMPORTRANGE(""https://docs.google.com/spreadsheets/d/1MeEWN-I1oV_STSDYn1IFDPWt_1FKiwhDph83XaGc0o0/edit?usp=sharing"",""งบพรบ!DL60"")"),0)</f>
        <v>0</v>
      </c>
      <c r="M285" s="90">
        <f ca="1">IFERROR(__xludf.DUMMYFUNCTION("IMPORTRANGE(""https://docs.google.com/spreadsheets/d/1MeEWN-I1oV_STSDYn1IFDPWt_1FKiwhDph83XaGc0o0/edit?usp=sharing"",""งบพรบ!DO60"")"),0)</f>
        <v>0</v>
      </c>
      <c r="N285" s="90">
        <f ca="1">IFERROR(__xludf.DUMMYFUNCTION("IMPORTRANGE(""https://docs.google.com/spreadsheets/d/1MeEWN-I1oV_STSDYn1IFDPWt_1FKiwhDph83XaGc0o0/edit?usp=sharing"",""งบพรบ!DQ60"")"),0)</f>
        <v>0</v>
      </c>
      <c r="O285" s="90">
        <f t="shared" ca="1" si="124"/>
        <v>0</v>
      </c>
      <c r="P285" s="90">
        <f t="shared" ca="1" si="125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IFERROR(__xludf.DUMMYFUNCTION("IMPORTRANGE(""https://docs.google.com/spreadsheets/d/1QqKyyYR6Q21VydFLVH3TRQUabQu_ym0Zz7PgGX0-kHA/edit?usp=sharing"",""แผน!EC60"")"),0)</f>
        <v>0</v>
      </c>
      <c r="J287" s="264">
        <v>0</v>
      </c>
      <c r="K287" s="159">
        <f t="shared" ref="K287:K288" ca="1" si="129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IFERROR(__xludf.DUMMYFUNCTION("IMPORTRANGE(""https://docs.google.com/spreadsheets/d/1QqKyyYR6Q21VydFLVH3TRQUabQu_ym0Zz7PgGX0-kHA/edit?usp=sharing"",""แผน!EB60"")"),0)</f>
        <v>0</v>
      </c>
      <c r="J288" s="673">
        <f ca="1">IF(AND(J291&gt;=I288,J294&gt;=I288),J294,0)</f>
        <v>0</v>
      </c>
      <c r="K288" s="409">
        <f t="shared" ca="1" si="129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IFERROR(__xludf.DUMMYFUNCTION("IMPORTRANGE(""https://docs.google.com/spreadsheets/d/1QqKyyYR6Q21VydFLVH3TRQUabQu_ym0Zz7PgGX0-kHA/edit?usp=sharing"",""แผน!EB60"")"),0)</f>
        <v>0</v>
      </c>
      <c r="J290" s="210">
        <v>0</v>
      </c>
      <c r="K290" s="159">
        <f t="shared" ref="K290:K291" ca="1" si="130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IFERROR(__xludf.DUMMYFUNCTION("IMPORTRANGE(""https://docs.google.com/spreadsheets/d/1QqKyyYR6Q21VydFLVH3TRQUabQu_ym0Zz7PgGX0-kHA/edit?usp=sharing"",""แผน!EB60"")"),0)</f>
        <v>0</v>
      </c>
      <c r="J291" s="210">
        <v>0</v>
      </c>
      <c r="K291" s="159">
        <f t="shared" ca="1" si="130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IFERROR(__xludf.DUMMYFUNCTION("IMPORTRANGE(""https://docs.google.com/spreadsheets/d/1QqKyyYR6Q21VydFLVH3TRQUabQu_ym0Zz7PgGX0-kHA/edit?usp=sharing"",""แผน!EB60"")"),0)</f>
        <v>0</v>
      </c>
      <c r="J293" s="210">
        <v>0</v>
      </c>
      <c r="K293" s="159">
        <f t="shared" ref="K293:K294" ca="1" si="131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IFERROR(__xludf.DUMMYFUNCTION("IMPORTRANGE(""https://docs.google.com/spreadsheets/d/1QqKyyYR6Q21VydFLVH3TRQUabQu_ym0Zz7PgGX0-kHA/edit?usp=sharing"",""แผน!EB60"")"),0)</f>
        <v>0</v>
      </c>
      <c r="J294" s="422">
        <v>0</v>
      </c>
      <c r="K294" s="382">
        <f t="shared" ca="1" si="131"/>
        <v>0</v>
      </c>
      <c r="L294" s="382"/>
      <c r="M294" s="382"/>
      <c r="N294" s="382"/>
      <c r="O294" s="382"/>
      <c r="P294" s="382"/>
    </row>
    <row r="295" spans="1:26" ht="19.5" hidden="1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 hidden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 hidden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2">I309</f>
        <v>0</v>
      </c>
      <c r="J297" s="442">
        <f t="shared" si="132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 hidden="1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3">L299+L300</f>
        <v>0</v>
      </c>
      <c r="M298" s="151">
        <f t="shared" ca="1" si="133"/>
        <v>0</v>
      </c>
      <c r="N298" s="151">
        <f t="shared" ca="1" si="133"/>
        <v>0</v>
      </c>
      <c r="O298" s="151">
        <f t="shared" ref="O298:O306" ca="1" si="134">IF(L298&gt;0,N298*100/L298,0)</f>
        <v>0</v>
      </c>
      <c r="P298" s="151">
        <f t="shared" ref="P298:P306" ca="1" si="135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6">L302+L305</f>
        <v>0</v>
      </c>
      <c r="M299" s="90">
        <f t="shared" si="136"/>
        <v>0</v>
      </c>
      <c r="N299" s="90">
        <f t="shared" si="136"/>
        <v>0</v>
      </c>
      <c r="O299" s="90">
        <f t="shared" si="134"/>
        <v>0</v>
      </c>
      <c r="P299" s="90">
        <f t="shared" si="135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6"/>
        <v>0</v>
      </c>
      <c r="M300" s="90">
        <f t="shared" ca="1" si="136"/>
        <v>0</v>
      </c>
      <c r="N300" s="90">
        <f t="shared" ca="1" si="136"/>
        <v>0</v>
      </c>
      <c r="O300" s="90">
        <f t="shared" ca="1" si="134"/>
        <v>0</v>
      </c>
      <c r="P300" s="90">
        <f t="shared" ca="1" si="135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7">L302+L303</f>
        <v>0</v>
      </c>
      <c r="M301" s="495">
        <f t="shared" ca="1" si="137"/>
        <v>0</v>
      </c>
      <c r="N301" s="495">
        <f t="shared" ca="1" si="137"/>
        <v>0</v>
      </c>
      <c r="O301" s="495">
        <f t="shared" ca="1" si="134"/>
        <v>0</v>
      </c>
      <c r="P301" s="495">
        <f t="shared" ca="1" si="135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4"/>
        <v>0</v>
      </c>
      <c r="P302" s="90">
        <f t="shared" si="135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IFERROR(__xludf.DUMMYFUNCTION("IMPORTRANGE(""https://docs.google.com/spreadsheets/d/1MeEWN-I1oV_STSDYn1IFDPWt_1FKiwhDph83XaGc0o0/edit?usp=sharing"",""งบพรบ!DS60"")"),0)</f>
        <v>0</v>
      </c>
      <c r="M303" s="90">
        <f ca="1">IFERROR(__xludf.DUMMYFUNCTION("IMPORTRANGE(""https://docs.google.com/spreadsheets/d/1MeEWN-I1oV_STSDYn1IFDPWt_1FKiwhDph83XaGc0o0/edit?usp=sharing"",""งบพรบ!DX60"")"),0)</f>
        <v>0</v>
      </c>
      <c r="N303" s="90">
        <f ca="1">IFERROR(__xludf.DUMMYFUNCTION("IMPORTRANGE(""https://docs.google.com/spreadsheets/d/1MeEWN-I1oV_STSDYn1IFDPWt_1FKiwhDph83XaGc0o0/edit?usp=sharing"",""งบพรบ!DZ60"")"),0)</f>
        <v>0</v>
      </c>
      <c r="O303" s="90">
        <f t="shared" ca="1" si="134"/>
        <v>0</v>
      </c>
      <c r="P303" s="90">
        <f t="shared" ca="1" si="135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8">L305+L306</f>
        <v>0</v>
      </c>
      <c r="M304" s="495">
        <f t="shared" ca="1" si="138"/>
        <v>0</v>
      </c>
      <c r="N304" s="495">
        <f t="shared" ca="1" si="138"/>
        <v>0</v>
      </c>
      <c r="O304" s="495">
        <f t="shared" ca="1" si="134"/>
        <v>0</v>
      </c>
      <c r="P304" s="495">
        <f t="shared" ca="1" si="135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4"/>
        <v>0</v>
      </c>
      <c r="P305" s="90">
        <f t="shared" si="135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IFERROR(__xludf.DUMMYFUNCTION("IMPORTRANGE(""https://docs.google.com/spreadsheets/d/1MeEWN-I1oV_STSDYn1IFDPWt_1FKiwhDph83XaGc0o0/edit?usp=sharing"",""งบพรบ!DV60"")"),0)</f>
        <v>0</v>
      </c>
      <c r="M306" s="90">
        <f ca="1">IFERROR(__xludf.DUMMYFUNCTION("IMPORTRANGE(""https://docs.google.com/spreadsheets/d/1MeEWN-I1oV_STSDYn1IFDPWt_1FKiwhDph83XaGc0o0/edit?usp=sharing"",""งบพรบ!DY60"")"),0)</f>
        <v>0</v>
      </c>
      <c r="N306" s="90">
        <f ca="1">IFERROR(__xludf.DUMMYFUNCTION("IMPORTRANGE(""https://docs.google.com/spreadsheets/d/1MeEWN-I1oV_STSDYn1IFDPWt_1FKiwhDph83XaGc0o0/edit?usp=sharing"",""งบพรบ!EA60"")"),0)</f>
        <v>0</v>
      </c>
      <c r="O306" s="90">
        <f t="shared" ca="1" si="134"/>
        <v>0</v>
      </c>
      <c r="P306" s="90">
        <f t="shared" ca="1" si="135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 hidden="1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 hidden="1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IFERROR(__xludf.DUMMYFUNCTION("IMPORTRANGE(""https://docs.google.com/spreadsheets/d/1QqKyyYR6Q21VydFLVH3TRQUabQu_ym0Zz7PgGX0-kHA/edit?usp=sharing"",""แผน!ED60"")"),0)</f>
        <v>0</v>
      </c>
      <c r="J309" s="210">
        <v>0</v>
      </c>
      <c r="K309" s="495">
        <f t="shared" ref="K309:K312" ca="1" si="139">IF(I309&gt;0,J309*100/I309,0)</f>
        <v>0</v>
      </c>
      <c r="L309" s="495"/>
      <c r="M309" s="495"/>
      <c r="N309" s="495"/>
      <c r="O309" s="495"/>
      <c r="P309" s="495"/>
    </row>
    <row r="310" spans="1:26" ht="18.75" hidden="1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IFERROR(__xludf.DUMMYFUNCTION("IMPORTRANGE(""https://docs.google.com/spreadsheets/d/1QqKyyYR6Q21VydFLVH3TRQUabQu_ym0Zz7PgGX0-kHA/edit?usp=sharing"",""แผน!ED60"")"),0)</f>
        <v>0</v>
      </c>
      <c r="J310" s="210">
        <v>0</v>
      </c>
      <c r="K310" s="495">
        <f t="shared" ca="1" si="139"/>
        <v>0</v>
      </c>
      <c r="L310" s="495"/>
      <c r="M310" s="495"/>
      <c r="N310" s="495"/>
      <c r="O310" s="495"/>
      <c r="P310" s="495"/>
    </row>
    <row r="311" spans="1:26" ht="18.75" hidden="1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IFERROR(__xludf.DUMMYFUNCTION("IMPORTRANGE(""https://docs.google.com/spreadsheets/d/1QqKyyYR6Q21VydFLVH3TRQUabQu_ym0Zz7PgGX0-kHA/edit?usp=sharing"",""แผน!ED60"")"),0)</f>
        <v>0</v>
      </c>
      <c r="J311" s="210">
        <v>0</v>
      </c>
      <c r="K311" s="495">
        <f t="shared" ca="1" si="139"/>
        <v>0</v>
      </c>
      <c r="L311" s="495"/>
      <c r="M311" s="495"/>
      <c r="N311" s="495"/>
      <c r="O311" s="495"/>
      <c r="P311" s="495"/>
    </row>
    <row r="312" spans="1:26" ht="18.75" hidden="1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IFERROR(__xludf.DUMMYFUNCTION("IMPORTRANGE(""https://docs.google.com/spreadsheets/d/1QqKyyYR6Q21VydFLVH3TRQUabQu_ym0Zz7PgGX0-kHA/edit?usp=sharing"",""แผน!EE60"")"),0)</f>
        <v>0</v>
      </c>
      <c r="J312" s="210">
        <v>0</v>
      </c>
      <c r="K312" s="495">
        <f t="shared" ca="1" si="139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0">I325</f>
        <v>0</v>
      </c>
      <c r="J314" s="442">
        <f t="shared" si="140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1">L316+L317</f>
        <v>0</v>
      </c>
      <c r="M315" s="151">
        <f t="shared" ca="1" si="141"/>
        <v>0</v>
      </c>
      <c r="N315" s="151">
        <f t="shared" ca="1" si="141"/>
        <v>0</v>
      </c>
      <c r="O315" s="151">
        <f t="shared" ref="O315:O323" ca="1" si="142">IF(L315&gt;0,N315*100/L315,0)</f>
        <v>0</v>
      </c>
      <c r="P315" s="151">
        <f t="shared" ref="P315:P323" ca="1" si="143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4">L319+L322</f>
        <v>0</v>
      </c>
      <c r="M316" s="90">
        <f t="shared" si="144"/>
        <v>0</v>
      </c>
      <c r="N316" s="90">
        <f t="shared" si="144"/>
        <v>0</v>
      </c>
      <c r="O316" s="90">
        <f t="shared" si="142"/>
        <v>0</v>
      </c>
      <c r="P316" s="90">
        <f t="shared" si="143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4"/>
        <v>0</v>
      </c>
      <c r="M317" s="90">
        <f t="shared" ca="1" si="144"/>
        <v>0</v>
      </c>
      <c r="N317" s="90">
        <f t="shared" ca="1" si="144"/>
        <v>0</v>
      </c>
      <c r="O317" s="90">
        <f t="shared" ca="1" si="142"/>
        <v>0</v>
      </c>
      <c r="P317" s="90">
        <f t="shared" ca="1" si="143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5">L319+L320</f>
        <v>0</v>
      </c>
      <c r="M318" s="495">
        <f t="shared" ca="1" si="145"/>
        <v>0</v>
      </c>
      <c r="N318" s="495">
        <f t="shared" ca="1" si="145"/>
        <v>0</v>
      </c>
      <c r="O318" s="495">
        <f t="shared" ca="1" si="142"/>
        <v>0</v>
      </c>
      <c r="P318" s="495">
        <f t="shared" ca="1" si="143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2"/>
        <v>0</v>
      </c>
      <c r="P319" s="90">
        <f t="shared" si="143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IFERROR(__xludf.DUMMYFUNCTION("IMPORTRANGE(""https://docs.google.com/spreadsheets/d/1MeEWN-I1oV_STSDYn1IFDPWt_1FKiwhDph83XaGc0o0/edit?usp=sharing"",""งบพรบ!EC60"")"),0)</f>
        <v>0</v>
      </c>
      <c r="M320" s="90">
        <f ca="1">IFERROR(__xludf.DUMMYFUNCTION("IMPORTRANGE(""https://docs.google.com/spreadsheets/d/1MeEWN-I1oV_STSDYn1IFDPWt_1FKiwhDph83XaGc0o0/edit?usp=sharing"",""งบพรบ!EH60"")"),0)</f>
        <v>0</v>
      </c>
      <c r="N320" s="90">
        <f ca="1">IFERROR(__xludf.DUMMYFUNCTION("IMPORTRANGE(""https://docs.google.com/spreadsheets/d/1MeEWN-I1oV_STSDYn1IFDPWt_1FKiwhDph83XaGc0o0/edit?usp=sharing"",""งบพรบ!EJ60"")"),0)</f>
        <v>0</v>
      </c>
      <c r="O320" s="90">
        <f t="shared" ca="1" si="142"/>
        <v>0</v>
      </c>
      <c r="P320" s="90">
        <f t="shared" ca="1" si="143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6">L322+L323</f>
        <v>0</v>
      </c>
      <c r="M321" s="495">
        <f t="shared" ca="1" si="146"/>
        <v>0</v>
      </c>
      <c r="N321" s="495">
        <f t="shared" ca="1" si="146"/>
        <v>0</v>
      </c>
      <c r="O321" s="495">
        <f t="shared" ca="1" si="142"/>
        <v>0</v>
      </c>
      <c r="P321" s="495">
        <f t="shared" ca="1" si="143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2"/>
        <v>0</v>
      </c>
      <c r="P322" s="90">
        <f t="shared" si="143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IFERROR(__xludf.DUMMYFUNCTION("IMPORTRANGE(""https://docs.google.com/spreadsheets/d/1MeEWN-I1oV_STSDYn1IFDPWt_1FKiwhDph83XaGc0o0/edit?usp=sharing"",""งบพรบ!EF60"")"),0)</f>
        <v>0</v>
      </c>
      <c r="M323" s="90">
        <f ca="1">IFERROR(__xludf.DUMMYFUNCTION("IMPORTRANGE(""https://docs.google.com/spreadsheets/d/1MeEWN-I1oV_STSDYn1IFDPWt_1FKiwhDph83XaGc0o0/edit?usp=sharing"",""งบพรบ!EI60"")"),0)</f>
        <v>0</v>
      </c>
      <c r="N323" s="90">
        <f ca="1">IFERROR(__xludf.DUMMYFUNCTION("IMPORTRANGE(""https://docs.google.com/spreadsheets/d/1MeEWN-I1oV_STSDYn1IFDPWt_1FKiwhDph83XaGc0o0/edit?usp=sharing"",""งบพรบ!EK60"")"),0)</f>
        <v>0</v>
      </c>
      <c r="O323" s="90">
        <f t="shared" ca="1" si="142"/>
        <v>0</v>
      </c>
      <c r="P323" s="90">
        <f t="shared" ca="1" si="143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IFERROR(__xludf.DUMMYFUNCTION("IMPORTRANGE(""https://docs.google.com/spreadsheets/d/1QqKyyYR6Q21VydFLVH3TRQUabQu_ym0Zz7PgGX0-kHA/edit?usp=sharing"",""แผน!EF60"")"),0)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IFERROR(__xludf.DUMMYFUNCTION("IMPORTRANGE(""https://docs.google.com/spreadsheets/d/1QqKyyYR6Q21VydFLVH3TRQUabQu_ym0Zz7PgGX0-kHA/edit?usp=sharing"",""แผน!EG60"")"),200)</f>
        <v>200</v>
      </c>
      <c r="J327" s="442">
        <f ca="1">J338+J341+J342+J343</f>
        <v>94</v>
      </c>
      <c r="K327" s="443">
        <f ca="1">IF(I327&gt;0,J327*100/I327,0)</f>
        <v>47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7">L329+L330</f>
        <v>244600</v>
      </c>
      <c r="M328" s="151">
        <f t="shared" ca="1" si="147"/>
        <v>122300</v>
      </c>
      <c r="N328" s="151">
        <f t="shared" ca="1" si="147"/>
        <v>53020</v>
      </c>
      <c r="O328" s="151">
        <f t="shared" ref="O328:O336" ca="1" si="148">IF(L328&gt;0,N328*100/L328,0)</f>
        <v>21.676206050695011</v>
      </c>
      <c r="P328" s="151">
        <f t="shared" ref="P328:P336" ca="1" si="149">IF(M328&gt;0,N328*100/M328,0)</f>
        <v>43.352412101390023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0">L332+L335</f>
        <v>0</v>
      </c>
      <c r="M329" s="90">
        <f t="shared" si="150"/>
        <v>0</v>
      </c>
      <c r="N329" s="90">
        <f t="shared" si="150"/>
        <v>0</v>
      </c>
      <c r="O329" s="90">
        <f t="shared" si="148"/>
        <v>0</v>
      </c>
      <c r="P329" s="90">
        <f t="shared" si="149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0"/>
        <v>244600</v>
      </c>
      <c r="M330" s="90">
        <f t="shared" ca="1" si="150"/>
        <v>122300</v>
      </c>
      <c r="N330" s="90">
        <f t="shared" ca="1" si="150"/>
        <v>53020</v>
      </c>
      <c r="O330" s="90">
        <f t="shared" ca="1" si="148"/>
        <v>21.676206050695011</v>
      </c>
      <c r="P330" s="90">
        <f t="shared" ca="1" si="149"/>
        <v>43.352412101390023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1">L332+L333</f>
        <v>244600</v>
      </c>
      <c r="M331" s="495">
        <f t="shared" ca="1" si="151"/>
        <v>122300</v>
      </c>
      <c r="N331" s="495">
        <f t="shared" ca="1" si="151"/>
        <v>53020</v>
      </c>
      <c r="O331" s="495">
        <f t="shared" ca="1" si="148"/>
        <v>21.676206050695011</v>
      </c>
      <c r="P331" s="495">
        <f t="shared" ca="1" si="149"/>
        <v>43.352412101390023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8"/>
        <v>0</v>
      </c>
      <c r="P332" s="90">
        <f t="shared" si="149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IFERROR(__xludf.DUMMYFUNCTION("IMPORTRANGE(""https://docs.google.com/spreadsheets/d/1MeEWN-I1oV_STSDYn1IFDPWt_1FKiwhDph83XaGc0o0/edit?usp=sharing"",""งบพรบ!EM60"")"),244600)</f>
        <v>244600</v>
      </c>
      <c r="M333" s="90">
        <f ca="1">IFERROR(__xludf.DUMMYFUNCTION("IMPORTRANGE(""https://docs.google.com/spreadsheets/d/1MeEWN-I1oV_STSDYn1IFDPWt_1FKiwhDph83XaGc0o0/edit?usp=sharing"",""งบพรบ!ER60"")"),122300)</f>
        <v>122300</v>
      </c>
      <c r="N333" s="90">
        <f ca="1">IFERROR(__xludf.DUMMYFUNCTION("IMPORTRANGE(""https://docs.google.com/spreadsheets/d/1MeEWN-I1oV_STSDYn1IFDPWt_1FKiwhDph83XaGc0o0/edit?usp=sharing"",""งบพรบ!ET60"")"),53020)</f>
        <v>53020</v>
      </c>
      <c r="O333" s="90">
        <f t="shared" ca="1" si="148"/>
        <v>21.676206050695011</v>
      </c>
      <c r="P333" s="90">
        <f t="shared" ca="1" si="149"/>
        <v>43.352412101390023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2">L335+L336</f>
        <v>0</v>
      </c>
      <c r="M334" s="495">
        <f t="shared" ca="1" si="152"/>
        <v>0</v>
      </c>
      <c r="N334" s="495">
        <f t="shared" ca="1" si="152"/>
        <v>0</v>
      </c>
      <c r="O334" s="495">
        <f t="shared" ca="1" si="148"/>
        <v>0</v>
      </c>
      <c r="P334" s="495">
        <f t="shared" ca="1" si="149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8"/>
        <v>0</v>
      </c>
      <c r="P335" s="90">
        <f t="shared" si="149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IFERROR(__xludf.DUMMYFUNCTION("IMPORTRANGE(""https://docs.google.com/spreadsheets/d/1MeEWN-I1oV_STSDYn1IFDPWt_1FKiwhDph83XaGc0o0/edit?usp=sharing"",""งบพรบ!EP60"")"),0)</f>
        <v>0</v>
      </c>
      <c r="M336" s="90">
        <f ca="1">IFERROR(__xludf.DUMMYFUNCTION("IMPORTRANGE(""https://docs.google.com/spreadsheets/d/1MeEWN-I1oV_STSDYn1IFDPWt_1FKiwhDph83XaGc0o0/edit?usp=sharing"",""งบพรบ!ES60"")"),0)</f>
        <v>0</v>
      </c>
      <c r="N336" s="90">
        <f ca="1">IFERROR(__xludf.DUMMYFUNCTION("IMPORTRANGE(""https://docs.google.com/spreadsheets/d/1MeEWN-I1oV_STSDYn1IFDPWt_1FKiwhDph83XaGc0o0/edit?usp=sharing"",""งบพรบ!EU60"")"),0)</f>
        <v>0</v>
      </c>
      <c r="O336" s="90">
        <f t="shared" ca="1" si="148"/>
        <v>0</v>
      </c>
      <c r="P336" s="90">
        <f t="shared" ca="1" si="149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IFERROR(__xludf.DUMMYFUNCTION("IMPORTRANGE(""https://docs.google.com/spreadsheets/d/1QqKyyYR6Q21VydFLVH3TRQUabQu_ym0Zz7PgGX0-kHA/edit?usp=sharing"",""แผน!EG60"")"),200)</f>
        <v>200</v>
      </c>
      <c r="J338" s="264">
        <f ca="1">IFERROR(__xludf.DUMMYFUNCTION("IMPORTRANGE(""https://docs.google.com/spreadsheets/d/1kVcqe37tkHyjCSG3S0O1AXqVkqjo8mSIZil3BcpIysc/edit?usp=sharing"",""ศูนย์!D60"")"),94)</f>
        <v>94</v>
      </c>
      <c r="K338" s="495">
        <f ca="1">IF(I338&gt;0,J338*100/I338,0)</f>
        <v>47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IFERROR(__xludf.DUMMYFUNCTION("IMPORTRANGE(""https://docs.google.com/spreadsheets/d/1QqKyyYR6Q21VydFLVH3TRQUabQu_ym0Zz7PgGX0-kHA/edit?usp=sharing"",""แผน!EH60"")"),2)</f>
        <v>2</v>
      </c>
      <c r="J340" s="264">
        <f ca="1">IFERROR(__xludf.DUMMYFUNCTION("IMPORTRANGE(""https://docs.google.com/spreadsheets/d/1kVcqe37tkHyjCSG3S0O1AXqVkqjo8mSIZil3BcpIysc/edit?usp=sharing"",""ศูนย์!E60"")"),0)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IFERROR(__xludf.DUMMYFUNCTION("IMPORTRANGE(""https://docs.google.com/spreadsheets/d/1kVcqe37tkHyjCSG3S0O1AXqVkqjo8mSIZil3BcpIysc/edit?usp=sharing"",""ศูนย์!F60"")"),0)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IFERROR(__xludf.DUMMYFUNCTION("IMPORTRANGE(""https://docs.google.com/spreadsheets/d/1kVcqe37tkHyjCSG3S0O1AXqVkqjo8mSIZil3BcpIysc/edit?usp=sharing"",""ศูนย์!G60"")"),0)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IFERROR(__xludf.DUMMYFUNCTION("IMPORTRANGE(""https://docs.google.com/spreadsheets/d/1kVcqe37tkHyjCSG3S0O1AXqVkqjo8mSIZil3BcpIysc/edit?usp=sharing"",""ศูนย์!H60"")"),0)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3">L346+L347</f>
        <v>228910</v>
      </c>
      <c r="M345" s="151">
        <f t="shared" ca="1" si="153"/>
        <v>133360</v>
      </c>
      <c r="N345" s="151">
        <f t="shared" ca="1" si="153"/>
        <v>66600</v>
      </c>
      <c r="O345" s="151">
        <f t="shared" ref="O345:O353" ca="1" si="154">IF(L345&gt;0,N345*100/L345,0)</f>
        <v>29.09440391420209</v>
      </c>
      <c r="P345" s="151">
        <f t="shared" ref="P345:P353" ca="1" si="155">IF(M345&gt;0,N345*100/M345,0)</f>
        <v>49.940011997600479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6">L349+L352</f>
        <v>0</v>
      </c>
      <c r="M346" s="90">
        <f t="shared" si="156"/>
        <v>0</v>
      </c>
      <c r="N346" s="90">
        <f t="shared" si="156"/>
        <v>0</v>
      </c>
      <c r="O346" s="90">
        <f t="shared" si="154"/>
        <v>0</v>
      </c>
      <c r="P346" s="90">
        <f t="shared" si="155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6"/>
        <v>228910</v>
      </c>
      <c r="M347" s="90">
        <f t="shared" ca="1" si="156"/>
        <v>133360</v>
      </c>
      <c r="N347" s="90">
        <f t="shared" ca="1" si="156"/>
        <v>66600</v>
      </c>
      <c r="O347" s="90">
        <f t="shared" ca="1" si="154"/>
        <v>29.09440391420209</v>
      </c>
      <c r="P347" s="90">
        <f t="shared" ca="1" si="155"/>
        <v>49.940011997600479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7">L349+L350</f>
        <v>191110</v>
      </c>
      <c r="M348" s="495">
        <f t="shared" ca="1" si="157"/>
        <v>95560</v>
      </c>
      <c r="N348" s="495">
        <f t="shared" ca="1" si="157"/>
        <v>28800</v>
      </c>
      <c r="O348" s="495">
        <f t="shared" ca="1" si="154"/>
        <v>15.069855057296845</v>
      </c>
      <c r="P348" s="495">
        <f t="shared" ca="1" si="155"/>
        <v>30.138133110087903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4"/>
        <v>0</v>
      </c>
      <c r="P349" s="90">
        <f t="shared" si="155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IFERROR(__xludf.DUMMYFUNCTION("IMPORTRANGE(""https://docs.google.com/spreadsheets/d/1MeEWN-I1oV_STSDYn1IFDPWt_1FKiwhDph83XaGc0o0/edit?usp=sharing"",""งบพรบ!EW60"")"),191110)</f>
        <v>191110</v>
      </c>
      <c r="M350" s="90">
        <f ca="1">IFERROR(__xludf.DUMMYFUNCTION("IMPORTRANGE(""https://docs.google.com/spreadsheets/d/1MeEWN-I1oV_STSDYn1IFDPWt_1FKiwhDph83XaGc0o0/edit?usp=sharing"",""งบพรบ!FB60"")"),95560)</f>
        <v>95560</v>
      </c>
      <c r="N350" s="90">
        <f ca="1">IFERROR(__xludf.DUMMYFUNCTION("IMPORTRANGE(""https://docs.google.com/spreadsheets/d/1MeEWN-I1oV_STSDYn1IFDPWt_1FKiwhDph83XaGc0o0/edit?usp=sharing"",""งบพรบ!FD60"")"),28800)</f>
        <v>28800</v>
      </c>
      <c r="O350" s="90">
        <f t="shared" ca="1" si="154"/>
        <v>15.069855057296845</v>
      </c>
      <c r="P350" s="90">
        <f t="shared" ca="1" si="155"/>
        <v>30.138133110087903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8">L352+L353</f>
        <v>37800</v>
      </c>
      <c r="M351" s="495">
        <f t="shared" ca="1" si="158"/>
        <v>37800</v>
      </c>
      <c r="N351" s="495">
        <f t="shared" ca="1" si="158"/>
        <v>37800</v>
      </c>
      <c r="O351" s="495">
        <f t="shared" ca="1" si="154"/>
        <v>100</v>
      </c>
      <c r="P351" s="495">
        <f t="shared" ca="1" si="155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4"/>
        <v>0</v>
      </c>
      <c r="P352" s="90">
        <f t="shared" si="155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IFERROR(__xludf.DUMMYFUNCTION("IMPORTRANGE(""https://docs.google.com/spreadsheets/d/1MeEWN-I1oV_STSDYn1IFDPWt_1FKiwhDph83XaGc0o0/edit?usp=sharing"",""งบพรบ!EZ60"")"),37800)</f>
        <v>37800</v>
      </c>
      <c r="M353" s="90">
        <f ca="1">IFERROR(__xludf.DUMMYFUNCTION("IMPORTRANGE(""https://docs.google.com/spreadsheets/d/1MeEWN-I1oV_STSDYn1IFDPWt_1FKiwhDph83XaGc0o0/edit?usp=sharing"",""งบพรบ!FC60"")"),37800)</f>
        <v>37800</v>
      </c>
      <c r="N353" s="90">
        <f ca="1">IFERROR(__xludf.DUMMYFUNCTION("IMPORTRANGE(""https://docs.google.com/spreadsheets/d/1MeEWN-I1oV_STSDYn1IFDPWt_1FKiwhDph83XaGc0o0/edit?usp=sharing"",""งบพรบ!FE60"")"),37800)</f>
        <v>37800</v>
      </c>
      <c r="O353" s="90">
        <f t="shared" ca="1" si="154"/>
        <v>100</v>
      </c>
      <c r="P353" s="90">
        <f t="shared" ca="1" si="155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 hidden="1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IFERROR(__xludf.DUMMYFUNCTION("IMPORTRANGE(""https://docs.google.com/spreadsheets/d/1QqKyyYR6Q21VydFLVH3TRQUabQu_ym0Zz7PgGX0-kHA/edit?usp=sharing"",""แผน!EP60"")"),0)</f>
        <v>0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 hidden="1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 hidden="1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 hidden="1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IFERROR(__xludf.DUMMYFUNCTION("IMPORTRANGE(""https://docs.google.com/spreadsheets/d/1XWAQStnk-4SwqDmLtmXYiTMKHgktTP8We1SCoS47DrQ/edit?usp=sharing"",""จัดที่ดิน!W60"")"),0)</f>
        <v>0</v>
      </c>
      <c r="K358" s="495">
        <f t="shared" ref="K358:K365" si="159">IF(I358&gt;0,J358*100/I358,0)</f>
        <v>0</v>
      </c>
      <c r="L358" s="159"/>
      <c r="M358" s="159"/>
      <c r="N358" s="159"/>
      <c r="O358" s="159"/>
      <c r="P358" s="159"/>
    </row>
    <row r="359" spans="1:26" ht="18.75" hidden="1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IFERROR(__xludf.DUMMYFUNCTION("IMPORTRANGE(""https://docs.google.com/spreadsheets/d/1QqKyyYR6Q21VydFLVH3TRQUabQu_ym0Zz7PgGX0-kHA/edit?usp=sharing"",""แผน!EO60"")"),0)</f>
        <v>0</v>
      </c>
      <c r="J359" s="264">
        <f ca="1">IFERROR(__xludf.DUMMYFUNCTION("IMPORTRANGE(""https://docs.google.com/spreadsheets/d/1XWAQStnk-4SwqDmLtmXYiTMKHgktTP8We1SCoS47DrQ/edit?usp=sharing"",""จัดที่ดิน!X60"")"),0)</f>
        <v>0</v>
      </c>
      <c r="K359" s="495">
        <f t="shared" ca="1" si="159"/>
        <v>0</v>
      </c>
      <c r="L359" s="159"/>
      <c r="M359" s="159"/>
      <c r="N359" s="159"/>
      <c r="O359" s="159"/>
      <c r="P359" s="159"/>
    </row>
    <row r="360" spans="1:26" ht="18.75" hidden="1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IFERROR(__xludf.DUMMYFUNCTION("IMPORTRANGE(""https://docs.google.com/spreadsheets/d/1QqKyyYR6Q21VydFLVH3TRQUabQu_ym0Zz7PgGX0-kHA/edit?usp=sharing"",""แผน!EP60"")"),0)</f>
        <v>0</v>
      </c>
      <c r="J360" s="264">
        <f ca="1">IFERROR(__xludf.DUMMYFUNCTION("IMPORTRANGE(""https://docs.google.com/spreadsheets/d/1XWAQStnk-4SwqDmLtmXYiTMKHgktTP8We1SCoS47DrQ/edit?usp=sharing"",""จัดที่ดิน!Y60"")"),0)</f>
        <v>0</v>
      </c>
      <c r="K360" s="495">
        <f t="shared" ca="1" si="159"/>
        <v>0</v>
      </c>
      <c r="L360" s="159"/>
      <c r="M360" s="159"/>
      <c r="N360" s="159"/>
      <c r="O360" s="159"/>
      <c r="P360" s="159"/>
    </row>
    <row r="361" spans="1:26" ht="18.75" hidden="1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IFERROR(__xludf.DUMMYFUNCTION("IMPORTRANGE(""https://docs.google.com/spreadsheets/d/1XWAQStnk-4SwqDmLtmXYiTMKHgktTP8We1SCoS47DrQ/edit?usp=sharing"",""จัดที่ดิน!Z60"")"),0)</f>
        <v>0</v>
      </c>
      <c r="K361" s="495">
        <f t="shared" si="159"/>
        <v>0</v>
      </c>
      <c r="L361" s="159"/>
      <c r="M361" s="159"/>
      <c r="N361" s="159"/>
      <c r="O361" s="159"/>
      <c r="P361" s="159"/>
    </row>
    <row r="362" spans="1:26" ht="18.75" hidden="1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IFERROR(__xludf.DUMMYFUNCTION("IMPORTRANGE(""https://docs.google.com/spreadsheets/d/1QqKyyYR6Q21VydFLVH3TRQUabQu_ym0Zz7PgGX0-kHA/edit?usp=sharing"",""แผน!EP60"")"),0)</f>
        <v>0</v>
      </c>
      <c r="J362" s="264">
        <f ca="1">IFERROR(__xludf.DUMMYFUNCTION("IMPORTRANGE(""https://docs.google.com/spreadsheets/d/1XWAQStnk-4SwqDmLtmXYiTMKHgktTP8We1SCoS47DrQ/edit?usp=sharing"",""จัดที่ดิน!AA60"")"),0)</f>
        <v>0</v>
      </c>
      <c r="K362" s="495">
        <f t="shared" ca="1" si="159"/>
        <v>0</v>
      </c>
      <c r="L362" s="159"/>
      <c r="M362" s="159"/>
      <c r="N362" s="159"/>
      <c r="O362" s="159"/>
      <c r="P362" s="159"/>
    </row>
    <row r="363" spans="1:26" ht="18.75" hidden="1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IFERROR(__xludf.DUMMYFUNCTION("IMPORTRANGE(""https://docs.google.com/spreadsheets/d/1XWAQStnk-4SwqDmLtmXYiTMKHgktTP8We1SCoS47DrQ/edit?usp=sharing"",""จัดที่ดิน!AB60"")"),0)</f>
        <v>0</v>
      </c>
      <c r="K363" s="495">
        <f t="shared" si="159"/>
        <v>0</v>
      </c>
      <c r="L363" s="159"/>
      <c r="M363" s="159"/>
      <c r="N363" s="159"/>
      <c r="O363" s="159"/>
      <c r="P363" s="159"/>
    </row>
    <row r="364" spans="1:26" ht="19.5" hidden="1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0">I365+I374</f>
        <v>0</v>
      </c>
      <c r="J364" s="476">
        <f t="shared" ca="1" si="160"/>
        <v>0</v>
      </c>
      <c r="K364" s="477">
        <f t="shared" ca="1" si="159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 hidden="1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IFERROR(__xludf.DUMMYFUNCTION("IMPORTRANGE(""https://docs.google.com/spreadsheets/d/1QqKyyYR6Q21VydFLVH3TRQUabQu_ym0Zz7PgGX0-kHA/edit?usp=sharing"",""แผน!EJ60"")"),0)</f>
        <v>0</v>
      </c>
      <c r="J365" s="488">
        <f ca="1">J372</f>
        <v>0</v>
      </c>
      <c r="K365" s="489">
        <f t="shared" ca="1" si="159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 hidden="1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 hidden="1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 hidden="1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IFERROR(__xludf.DUMMYFUNCTION("IMPORTRANGE(""https://docs.google.com/spreadsheets/d/1XWAQStnk-4SwqDmLtmXYiTMKHgktTP8We1SCoS47DrQ/edit?usp=sharing"",""จัดที่ดิน!E60"")"),0)</f>
        <v>0</v>
      </c>
      <c r="K368" s="495">
        <f t="shared" ref="K368:K374" si="161">IF(I368&gt;0,J368*100/I368,0)</f>
        <v>0</v>
      </c>
      <c r="L368" s="159"/>
      <c r="M368" s="159"/>
      <c r="N368" s="159"/>
      <c r="O368" s="159"/>
      <c r="P368" s="159"/>
    </row>
    <row r="369" spans="1:26" ht="18.75" hidden="1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IFERROR(__xludf.DUMMYFUNCTION("IMPORTRANGE(""https://docs.google.com/spreadsheets/d/1QqKyyYR6Q21VydFLVH3TRQUabQu_ym0Zz7PgGX0-kHA/edit?usp=sharing"",""แผน!EI60"")"),0)</f>
        <v>0</v>
      </c>
      <c r="J369" s="264">
        <f ca="1">IFERROR(__xludf.DUMMYFUNCTION("IMPORTRANGE(""https://docs.google.com/spreadsheets/d/1XWAQStnk-4SwqDmLtmXYiTMKHgktTP8We1SCoS47DrQ/edit?usp=sharing"",""จัดที่ดิน!F60"")"),0)</f>
        <v>0</v>
      </c>
      <c r="K369" s="495">
        <f t="shared" ca="1" si="161"/>
        <v>0</v>
      </c>
      <c r="L369" s="159"/>
      <c r="M369" s="159"/>
      <c r="N369" s="159"/>
      <c r="O369" s="159"/>
      <c r="P369" s="159"/>
    </row>
    <row r="370" spans="1:26" ht="18.75" hidden="1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IFERROR(__xludf.DUMMYFUNCTION("IMPORTRANGE(""https://docs.google.com/spreadsheets/d/1QqKyyYR6Q21VydFLVH3TRQUabQu_ym0Zz7PgGX0-kHA/edit?usp=sharing"",""แผน!EJ60"")"),0)</f>
        <v>0</v>
      </c>
      <c r="J370" s="264">
        <f ca="1">IFERROR(__xludf.DUMMYFUNCTION("IMPORTRANGE(""https://docs.google.com/spreadsheets/d/1XWAQStnk-4SwqDmLtmXYiTMKHgktTP8We1SCoS47DrQ/edit?usp=sharing"",""จัดที่ดิน!G60"")"),0)</f>
        <v>0</v>
      </c>
      <c r="K370" s="495">
        <f t="shared" ca="1" si="161"/>
        <v>0</v>
      </c>
      <c r="L370" s="159"/>
      <c r="M370" s="159"/>
      <c r="N370" s="159"/>
      <c r="O370" s="159"/>
      <c r="P370" s="159"/>
    </row>
    <row r="371" spans="1:26" ht="18.75" hidden="1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IFERROR(__xludf.DUMMYFUNCTION("IMPORTRANGE(""https://docs.google.com/spreadsheets/d/1XWAQStnk-4SwqDmLtmXYiTMKHgktTP8We1SCoS47DrQ/edit?usp=sharing"",""จัดที่ดิน!H60"")"),0)</f>
        <v>0</v>
      </c>
      <c r="K371" s="495">
        <f t="shared" si="161"/>
        <v>0</v>
      </c>
      <c r="L371" s="159"/>
      <c r="M371" s="159"/>
      <c r="N371" s="159"/>
      <c r="O371" s="159"/>
      <c r="P371" s="159"/>
    </row>
    <row r="372" spans="1:26" ht="18.75" hidden="1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IFERROR(__xludf.DUMMYFUNCTION("IMPORTRANGE(""https://docs.google.com/spreadsheets/d/1QqKyyYR6Q21VydFLVH3TRQUabQu_ym0Zz7PgGX0-kHA/edit?usp=sharing"",""แผน!EJ60"")"),0)</f>
        <v>0</v>
      </c>
      <c r="J372" s="264">
        <f ca="1">IFERROR(__xludf.DUMMYFUNCTION("IMPORTRANGE(""https://docs.google.com/spreadsheets/d/1XWAQStnk-4SwqDmLtmXYiTMKHgktTP8We1SCoS47DrQ/edit?usp=sharing"",""จัดที่ดิน!I60"")"),0)</f>
        <v>0</v>
      </c>
      <c r="K372" s="495">
        <f t="shared" ca="1" si="161"/>
        <v>0</v>
      </c>
      <c r="L372" s="159"/>
      <c r="M372" s="159"/>
      <c r="N372" s="159"/>
      <c r="O372" s="159"/>
      <c r="P372" s="159"/>
    </row>
    <row r="373" spans="1:26" ht="18.75" hidden="1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IFERROR(__xludf.DUMMYFUNCTION("IMPORTRANGE(""https://docs.google.com/spreadsheets/d/1XWAQStnk-4SwqDmLtmXYiTMKHgktTP8We1SCoS47DrQ/edit?usp=sharing"",""จัดที่ดิน!J60"")"),0)</f>
        <v>0</v>
      </c>
      <c r="K373" s="495">
        <f t="shared" si="161"/>
        <v>0</v>
      </c>
      <c r="L373" s="159"/>
      <c r="M373" s="159"/>
      <c r="N373" s="159"/>
      <c r="O373" s="159"/>
      <c r="P373" s="159"/>
    </row>
    <row r="374" spans="1:26" ht="19.5" hidden="1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IFERROR(__xludf.DUMMYFUNCTION("IMPORTRANGE(""https://docs.google.com/spreadsheets/d/1QqKyyYR6Q21VydFLVH3TRQUabQu_ym0Zz7PgGX0-kHA/edit?usp=sharing"",""แผน!EU60"")"),0)</f>
        <v>0</v>
      </c>
      <c r="J374" s="488">
        <f ca="1">J381</f>
        <v>0</v>
      </c>
      <c r="K374" s="489">
        <f t="shared" ca="1" si="161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 hidden="1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 hidden="1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 hidden="1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IFERROR(__xludf.DUMMYFUNCTION("IMPORTRANGE(""https://docs.google.com/spreadsheets/d/1XWAQStnk-4SwqDmLtmXYiTMKHgktTP8We1SCoS47DrQ/edit?usp=sharing"",""จัดที่ดิน!AH60"")"),0)</f>
        <v>0</v>
      </c>
      <c r="K377" s="495">
        <f t="shared" ref="K377:K382" si="162">IF(I377&gt;0,J377*100/I377,0)</f>
        <v>0</v>
      </c>
      <c r="L377" s="159"/>
      <c r="M377" s="159"/>
      <c r="N377" s="159"/>
      <c r="O377" s="159"/>
      <c r="P377" s="159"/>
    </row>
    <row r="378" spans="1:26" ht="18.75" hidden="1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IFERROR(__xludf.DUMMYFUNCTION("IMPORTRANGE(""https://docs.google.com/spreadsheets/d/1QqKyyYR6Q21VydFLVH3TRQUabQu_ym0Zz7PgGX0-kHA/edit?usp=sharing"",""แผน!ET60"")"),0)</f>
        <v>0</v>
      </c>
      <c r="J378" s="264">
        <f ca="1">IFERROR(__xludf.DUMMYFUNCTION("IMPORTRANGE(""https://docs.google.com/spreadsheets/d/1XWAQStnk-4SwqDmLtmXYiTMKHgktTP8We1SCoS47DrQ/edit?usp=sharing"",""จัดที่ดิน!AI60"")"),0)</f>
        <v>0</v>
      </c>
      <c r="K378" s="495">
        <f t="shared" ca="1" si="162"/>
        <v>0</v>
      </c>
      <c r="L378" s="159"/>
      <c r="M378" s="159"/>
      <c r="N378" s="159"/>
      <c r="O378" s="159"/>
      <c r="P378" s="159"/>
    </row>
    <row r="379" spans="1:26" ht="18.75" hidden="1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IFERROR(__xludf.DUMMYFUNCTION("IMPORTRANGE(""https://docs.google.com/spreadsheets/d/1QqKyyYR6Q21VydFLVH3TRQUabQu_ym0Zz7PgGX0-kHA/edit?usp=sharing"",""แผน!EU60"")"),0)</f>
        <v>0</v>
      </c>
      <c r="J379" s="264">
        <f ca="1">IFERROR(__xludf.DUMMYFUNCTION("IMPORTRANGE(""https://docs.google.com/spreadsheets/d/1XWAQStnk-4SwqDmLtmXYiTMKHgktTP8We1SCoS47DrQ/edit?usp=sharing"",""จัดที่ดิน!AJ60"")"),0)</f>
        <v>0</v>
      </c>
      <c r="K379" s="495">
        <f t="shared" ca="1" si="162"/>
        <v>0</v>
      </c>
      <c r="L379" s="159"/>
      <c r="M379" s="159"/>
      <c r="N379" s="159"/>
      <c r="O379" s="159"/>
      <c r="P379" s="159"/>
    </row>
    <row r="380" spans="1:26" ht="18.75" hidden="1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IFERROR(__xludf.DUMMYFUNCTION("IMPORTRANGE(""https://docs.google.com/spreadsheets/d/1XWAQStnk-4SwqDmLtmXYiTMKHgktTP8We1SCoS47DrQ/edit?usp=sharing"",""จัดที่ดิน!AK60"")"),0)</f>
        <v>0</v>
      </c>
      <c r="K380" s="495">
        <f t="shared" si="162"/>
        <v>0</v>
      </c>
      <c r="L380" s="159"/>
      <c r="M380" s="159"/>
      <c r="N380" s="159"/>
      <c r="O380" s="159"/>
      <c r="P380" s="159"/>
    </row>
    <row r="381" spans="1:26" ht="18.75" hidden="1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IFERROR(__xludf.DUMMYFUNCTION("IMPORTRANGE(""https://docs.google.com/spreadsheets/d/1QqKyyYR6Q21VydFLVH3TRQUabQu_ym0Zz7PgGX0-kHA/edit?usp=sharing"",""แผน!EU60"")"),0)</f>
        <v>0</v>
      </c>
      <c r="J381" s="264">
        <f ca="1">IFERROR(__xludf.DUMMYFUNCTION("IMPORTRANGE(""https://docs.google.com/spreadsheets/d/1XWAQStnk-4SwqDmLtmXYiTMKHgktTP8We1SCoS47DrQ/edit?usp=sharing"",""จัดที่ดิน!AL60"")"),0)</f>
        <v>0</v>
      </c>
      <c r="K381" s="495">
        <f t="shared" ca="1" si="162"/>
        <v>0</v>
      </c>
      <c r="L381" s="159"/>
      <c r="M381" s="159"/>
      <c r="N381" s="159"/>
      <c r="O381" s="159"/>
      <c r="P381" s="159"/>
    </row>
    <row r="382" spans="1:26" ht="18.75" hidden="1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IFERROR(__xludf.DUMMYFUNCTION("IMPORTRANGE(""https://docs.google.com/spreadsheets/d/1XWAQStnk-4SwqDmLtmXYiTMKHgktTP8We1SCoS47DrQ/edit?usp=sharing"",""จัดที่ดิน!AM60"")"),0)</f>
        <v>0</v>
      </c>
      <c r="K382" s="495">
        <f t="shared" si="162"/>
        <v>0</v>
      </c>
      <c r="L382" s="159"/>
      <c r="M382" s="159"/>
      <c r="N382" s="159"/>
      <c r="O382" s="159"/>
      <c r="P382" s="159"/>
    </row>
    <row r="383" spans="1:26" ht="19.5" hidden="1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 hidden="1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 hidden="1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IFERROR(__xludf.DUMMYFUNCTION("IMPORTRANGE(""https://docs.google.com/spreadsheets/d/1QqKyyYR6Q21VydFLVH3TRQUabQu_ym0Zz7PgGX0-kHA/edit?usp=sharing"",""แผน!EW60"")"),0)</f>
        <v>0</v>
      </c>
      <c r="J385" s="498">
        <f ca="1">IFERROR(__xludf.DUMMYFUNCTION("IMPORTRANGE(""https://docs.google.com/spreadsheets/d/1XWAQStnk-4SwqDmLtmXYiTMKHgktTP8We1SCoS47DrQ/edit?usp=sharing"",""จัดที่ดิน!AP60"")"),0)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3">I400</f>
        <v>0</v>
      </c>
      <c r="J388" s="519">
        <f t="shared" si="163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4">L390+L391</f>
        <v>0</v>
      </c>
      <c r="M389" s="151">
        <f t="shared" ca="1" si="164"/>
        <v>0</v>
      </c>
      <c r="N389" s="151">
        <f t="shared" ca="1" si="164"/>
        <v>0</v>
      </c>
      <c r="O389" s="151">
        <f t="shared" ref="O389:O397" ca="1" si="165">IF(L389&gt;0,N389*100/L389,0)</f>
        <v>0</v>
      </c>
      <c r="P389" s="151">
        <f t="shared" ref="P389:P397" ca="1" si="1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7">L393+L396</f>
        <v>0</v>
      </c>
      <c r="M390" s="90">
        <f t="shared" si="167"/>
        <v>0</v>
      </c>
      <c r="N390" s="90">
        <f t="shared" si="167"/>
        <v>0</v>
      </c>
      <c r="O390" s="90">
        <f t="shared" si="165"/>
        <v>0</v>
      </c>
      <c r="P390" s="90">
        <f t="shared" si="1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7"/>
        <v>0</v>
      </c>
      <c r="M391" s="90">
        <f t="shared" ca="1" si="167"/>
        <v>0</v>
      </c>
      <c r="N391" s="90">
        <f t="shared" ca="1" si="167"/>
        <v>0</v>
      </c>
      <c r="O391" s="90">
        <f t="shared" ca="1" si="165"/>
        <v>0</v>
      </c>
      <c r="P391" s="90">
        <f t="shared" ca="1" si="1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8">L393+L394</f>
        <v>0</v>
      </c>
      <c r="M392" s="495">
        <f t="shared" ca="1" si="168"/>
        <v>0</v>
      </c>
      <c r="N392" s="495">
        <f t="shared" ca="1" si="168"/>
        <v>0</v>
      </c>
      <c r="O392" s="495">
        <f t="shared" ca="1" si="165"/>
        <v>0</v>
      </c>
      <c r="P392" s="495">
        <f t="shared" ca="1" si="1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5"/>
        <v>0</v>
      </c>
      <c r="P393" s="90">
        <f t="shared" si="1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IFERROR(__xludf.DUMMYFUNCTION("IMPORTRANGE(""https://docs.google.com/spreadsheets/d/1MeEWN-I1oV_STSDYn1IFDPWt_1FKiwhDph83XaGc0o0/edit?usp=sharing"",""งบพรบ!FG60"")"),0)</f>
        <v>0</v>
      </c>
      <c r="M394" s="90">
        <f ca="1">IFERROR(__xludf.DUMMYFUNCTION("IMPORTRANGE(""https://docs.google.com/spreadsheets/d/1MeEWN-I1oV_STSDYn1IFDPWt_1FKiwhDph83XaGc0o0/edit?usp=sharing"",""งบพรบ!FL60"")"),0)</f>
        <v>0</v>
      </c>
      <c r="N394" s="90">
        <f ca="1">IFERROR(__xludf.DUMMYFUNCTION("IMPORTRANGE(""https://docs.google.com/spreadsheets/d/1MeEWN-I1oV_STSDYn1IFDPWt_1FKiwhDph83XaGc0o0/edit?usp=sharing"",""งบพรบ!FN60"")"),0)</f>
        <v>0</v>
      </c>
      <c r="O394" s="90">
        <f t="shared" ca="1" si="165"/>
        <v>0</v>
      </c>
      <c r="P394" s="90">
        <f t="shared" ca="1" si="1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69">L396+L397</f>
        <v>0</v>
      </c>
      <c r="M395" s="495">
        <f t="shared" ca="1" si="169"/>
        <v>0</v>
      </c>
      <c r="N395" s="495">
        <f t="shared" ca="1" si="169"/>
        <v>0</v>
      </c>
      <c r="O395" s="495">
        <f t="shared" ca="1" si="165"/>
        <v>0</v>
      </c>
      <c r="P395" s="495">
        <f t="shared" ca="1" si="1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5"/>
        <v>0</v>
      </c>
      <c r="P396" s="90">
        <f t="shared" si="1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IFERROR(__xludf.DUMMYFUNCTION("IMPORTRANGE(""https://docs.google.com/spreadsheets/d/1MeEWN-I1oV_STSDYn1IFDPWt_1FKiwhDph83XaGc0o0/edit?usp=sharing"",""งบพรบ!FJ60"")"),0)</f>
        <v>0</v>
      </c>
      <c r="M397" s="90">
        <f ca="1">IFERROR(__xludf.DUMMYFUNCTION("IMPORTRANGE(""https://docs.google.com/spreadsheets/d/1MeEWN-I1oV_STSDYn1IFDPWt_1FKiwhDph83XaGc0o0/edit?usp=sharing"",""งบพรบ!FM60"")"),0)</f>
        <v>0</v>
      </c>
      <c r="N397" s="90">
        <f ca="1">IFERROR(__xludf.DUMMYFUNCTION("IMPORTRANGE(""https://docs.google.com/spreadsheets/d/1MeEWN-I1oV_STSDYn1IFDPWt_1FKiwhDph83XaGc0o0/edit?usp=sharing"",""งบพรบ!FO60"")"),0)</f>
        <v>0</v>
      </c>
      <c r="O397" s="90">
        <f t="shared" ca="1" si="165"/>
        <v>0</v>
      </c>
      <c r="P397" s="90">
        <f t="shared" ca="1" si="1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0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0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1">I412</f>
        <v>0</v>
      </c>
      <c r="J401" s="519">
        <f t="shared" si="171"/>
        <v>0</v>
      </c>
      <c r="K401" s="520">
        <f t="shared" si="170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2">L403+L404</f>
        <v>0</v>
      </c>
      <c r="M402" s="151">
        <f t="shared" ca="1" si="172"/>
        <v>0</v>
      </c>
      <c r="N402" s="151">
        <f t="shared" ca="1" si="172"/>
        <v>0</v>
      </c>
      <c r="O402" s="151">
        <f t="shared" ref="O402:O410" ca="1" si="173">IF(L402&gt;0,N402*100/L402,0)</f>
        <v>0</v>
      </c>
      <c r="P402" s="151">
        <f t="shared" ref="P402:P410" ca="1" si="174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5">L406+L409</f>
        <v>0</v>
      </c>
      <c r="M403" s="90">
        <f t="shared" si="175"/>
        <v>0</v>
      </c>
      <c r="N403" s="90">
        <f t="shared" si="175"/>
        <v>0</v>
      </c>
      <c r="O403" s="90">
        <f t="shared" si="173"/>
        <v>0</v>
      </c>
      <c r="P403" s="90">
        <f t="shared" si="174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5"/>
        <v>0</v>
      </c>
      <c r="M404" s="90">
        <f t="shared" ca="1" si="175"/>
        <v>0</v>
      </c>
      <c r="N404" s="90">
        <f t="shared" ca="1" si="175"/>
        <v>0</v>
      </c>
      <c r="O404" s="90">
        <f t="shared" ca="1" si="173"/>
        <v>0</v>
      </c>
      <c r="P404" s="90">
        <f t="shared" ca="1" si="174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6">L406+L407</f>
        <v>0</v>
      </c>
      <c r="M405" s="495">
        <f t="shared" ca="1" si="176"/>
        <v>0</v>
      </c>
      <c r="N405" s="495">
        <f t="shared" ca="1" si="176"/>
        <v>0</v>
      </c>
      <c r="O405" s="495">
        <f t="shared" ca="1" si="173"/>
        <v>0</v>
      </c>
      <c r="P405" s="495">
        <f t="shared" ca="1" si="174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3"/>
        <v>0</v>
      </c>
      <c r="P406" s="90">
        <f t="shared" si="174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IFERROR(__xludf.DUMMYFUNCTION("IMPORTRANGE(""https://docs.google.com/spreadsheets/d/1MeEWN-I1oV_STSDYn1IFDPWt_1FKiwhDph83XaGc0o0/edit?usp=sharing"",""งบพรบ!FQ60"")"),0)</f>
        <v>0</v>
      </c>
      <c r="M407" s="90">
        <f ca="1">IFERROR(__xludf.DUMMYFUNCTION("IMPORTRANGE(""https://docs.google.com/spreadsheets/d/1MeEWN-I1oV_STSDYn1IFDPWt_1FKiwhDph83XaGc0o0/edit?usp=sharing"",""งบพรบ!FV60"")"),0)</f>
        <v>0</v>
      </c>
      <c r="N407" s="90">
        <f ca="1">IFERROR(__xludf.DUMMYFUNCTION("IMPORTRANGE(""https://docs.google.com/spreadsheets/d/1MeEWN-I1oV_STSDYn1IFDPWt_1FKiwhDph83XaGc0o0/edit?usp=sharing"",""งบพรบ!FX60"")"),0)</f>
        <v>0</v>
      </c>
      <c r="O407" s="90">
        <f t="shared" ca="1" si="173"/>
        <v>0</v>
      </c>
      <c r="P407" s="90">
        <f t="shared" ca="1" si="174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7">L409+L410</f>
        <v>0</v>
      </c>
      <c r="M408" s="495">
        <f t="shared" ca="1" si="177"/>
        <v>0</v>
      </c>
      <c r="N408" s="495">
        <f t="shared" ca="1" si="177"/>
        <v>0</v>
      </c>
      <c r="O408" s="495">
        <f t="shared" ca="1" si="173"/>
        <v>0</v>
      </c>
      <c r="P408" s="495">
        <f t="shared" ca="1" si="174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3"/>
        <v>0</v>
      </c>
      <c r="P409" s="90">
        <f t="shared" si="174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IFERROR(__xludf.DUMMYFUNCTION("IMPORTRANGE(""https://docs.google.com/spreadsheets/d/1MeEWN-I1oV_STSDYn1IFDPWt_1FKiwhDph83XaGc0o0/edit?usp=sharing"",""งบพรบ!FT60"")"),0)</f>
        <v>0</v>
      </c>
      <c r="M410" s="90">
        <f ca="1">IFERROR(__xludf.DUMMYFUNCTION("IMPORTRANGE(""https://docs.google.com/spreadsheets/d/1MeEWN-I1oV_STSDYn1IFDPWt_1FKiwhDph83XaGc0o0/edit?usp=sharing"",""งบพรบ!FW60"")"),0)</f>
        <v>0</v>
      </c>
      <c r="N410" s="90">
        <f ca="1">IFERROR(__xludf.DUMMYFUNCTION("IMPORTRANGE(""https://docs.google.com/spreadsheets/d/1MeEWN-I1oV_STSDYn1IFDPWt_1FKiwhDph83XaGc0o0/edit?usp=sharing"",""งบพรบ!FY60"")"),0)</f>
        <v>0</v>
      </c>
      <c r="O410" s="90">
        <f t="shared" ca="1" si="173"/>
        <v>0</v>
      </c>
      <c r="P410" s="90">
        <f t="shared" ca="1" si="174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8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8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79">L419+L444+L467+L502+L523+L544+L629+L655+L685+L737+L754+L770+L786+L805</f>
        <v>124940</v>
      </c>
      <c r="M414" s="546">
        <f t="shared" si="179"/>
        <v>0</v>
      </c>
      <c r="N414" s="546">
        <f t="shared" si="179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0">I433</f>
        <v>10</v>
      </c>
      <c r="J417" s="562">
        <f t="shared" ca="1" si="180"/>
        <v>0</v>
      </c>
      <c r="K417" s="563">
        <f t="shared" ref="K417:K418" ca="1" si="181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0"/>
        <v>1</v>
      </c>
      <c r="J418" s="562">
        <f t="shared" si="180"/>
        <v>0</v>
      </c>
      <c r="K418" s="563">
        <f t="shared" ca="1" si="181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2">L420+L421</f>
        <v>54560</v>
      </c>
      <c r="M419" s="151">
        <f t="shared" si="182"/>
        <v>0</v>
      </c>
      <c r="N419" s="151">
        <f t="shared" si="182"/>
        <v>0</v>
      </c>
      <c r="O419" s="151">
        <f t="shared" ref="O419:O424" ca="1" si="183">IF(L419&gt;0,N419*100/L419,0)</f>
        <v>0</v>
      </c>
      <c r="P419" s="151">
        <f t="shared" ref="P419:P424" si="184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5">L423+L430</f>
        <v>0</v>
      </c>
      <c r="M420" s="90">
        <f t="shared" si="185"/>
        <v>0</v>
      </c>
      <c r="N420" s="90">
        <f t="shared" si="185"/>
        <v>0</v>
      </c>
      <c r="O420" s="90">
        <f t="shared" si="183"/>
        <v>0</v>
      </c>
      <c r="P420" s="90">
        <f t="shared" si="184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5"/>
        <v>54560</v>
      </c>
      <c r="M421" s="90">
        <f t="shared" si="185"/>
        <v>0</v>
      </c>
      <c r="N421" s="90">
        <f t="shared" si="185"/>
        <v>0</v>
      </c>
      <c r="O421" s="90">
        <f t="shared" ca="1" si="183"/>
        <v>0</v>
      </c>
      <c r="P421" s="90">
        <f t="shared" si="184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6">L423+L424</f>
        <v>54560</v>
      </c>
      <c r="M422" s="495">
        <f t="shared" si="186"/>
        <v>0</v>
      </c>
      <c r="N422" s="495">
        <f t="shared" si="186"/>
        <v>0</v>
      </c>
      <c r="O422" s="495">
        <f t="shared" ca="1" si="183"/>
        <v>0</v>
      </c>
      <c r="P422" s="495">
        <f t="shared" si="184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3"/>
        <v>0</v>
      </c>
      <c r="P423" s="90">
        <f t="shared" si="184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IFERROR(__xludf.DUMMYFUNCTION("IMPORTRANGE(""https://docs.google.com/spreadsheets/d/1QqKyyYR6Q21VydFLVH3TRQUabQu_ym0Zz7PgGX0-kHA/edit?usp=sharing"",""แผน!EY60"")"),54560)</f>
        <v>54560</v>
      </c>
      <c r="M424" s="90">
        <v>0</v>
      </c>
      <c r="N424" s="90">
        <f>N425+N426+N427+N428</f>
        <v>0</v>
      </c>
      <c r="O424" s="90">
        <f t="shared" ca="1" si="183"/>
        <v>0</v>
      </c>
      <c r="P424" s="90">
        <f t="shared" si="184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7">L430+L431</f>
        <v>0</v>
      </c>
      <c r="M429" s="495">
        <f t="shared" si="187"/>
        <v>0</v>
      </c>
      <c r="N429" s="495">
        <f t="shared" si="187"/>
        <v>0</v>
      </c>
      <c r="O429" s="495">
        <f t="shared" ref="O429:O431" ca="1" si="188">IF(L429&gt;0,N429*100/L429,0)</f>
        <v>0</v>
      </c>
      <c r="P429" s="495">
        <f t="shared" ref="P429:P431" si="189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8"/>
        <v>0</v>
      </c>
      <c r="P430" s="90">
        <f t="shared" si="189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IFERROR(__xludf.DUMMYFUNCTION("IMPORTRANGE(""https://docs.google.com/spreadsheets/d/1QqKyyYR6Q21VydFLVH3TRQUabQu_ym0Zz7PgGX0-kHA/edit?usp=sharing"",""แผน!FB60"")"),0)</f>
        <v>0</v>
      </c>
      <c r="M431" s="90">
        <v>0</v>
      </c>
      <c r="N431" s="90">
        <v>0</v>
      </c>
      <c r="O431" s="90">
        <f t="shared" ca="1" si="188"/>
        <v>0</v>
      </c>
      <c r="P431" s="90">
        <f t="shared" si="189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10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0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1">I438+I440</f>
        <v>1</v>
      </c>
      <c r="J434" s="673">
        <f t="shared" si="191"/>
        <v>0</v>
      </c>
      <c r="K434" s="191">
        <f t="shared" ca="1" si="190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IFERROR(__xludf.DUMMYFUNCTION("IMPORTRANGE(""https://docs.google.com/spreadsheets/d/1QqKyyYR6Q21VydFLVH3TRQUabQu_ym0Zz7PgGX0-kHA/edit?usp=sharing"",""แผน!FC60"")"),10)</f>
        <v>10</v>
      </c>
      <c r="J435" s="576">
        <v>0</v>
      </c>
      <c r="K435" s="495">
        <f t="shared" ca="1" si="190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IFERROR(__xludf.DUMMYFUNCTION("IMPORTRANGE(""https://docs.google.com/spreadsheets/d/1QqKyyYR6Q21VydFLVH3TRQUabQu_ym0Zz7PgGX0-kHA/edit?usp=sharing"",""แผน!FD60"")"),0)</f>
        <v>0</v>
      </c>
      <c r="J437" s="576">
        <v>0</v>
      </c>
      <c r="K437" s="495">
        <f t="shared" ref="K437:K443" ca="1" si="192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IFERROR(__xludf.DUMMYFUNCTION("IMPORTRANGE(""https://docs.google.com/spreadsheets/d/1QqKyyYR6Q21VydFLVH3TRQUabQu_ym0Zz7PgGX0-kHA/edit?usp=sharing"",""แผน!FE60"")"),0)</f>
        <v>0</v>
      </c>
      <c r="J438" s="210">
        <v>0</v>
      </c>
      <c r="K438" s="495">
        <f t="shared" ca="1" si="192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IFERROR(__xludf.DUMMYFUNCTION("IMPORTRANGE(""https://docs.google.com/spreadsheets/d/1QqKyyYR6Q21VydFLVH3TRQUabQu_ym0Zz7PgGX0-kHA/edit?usp=sharing"",""แผน!FF60"")"),10)</f>
        <v>10</v>
      </c>
      <c r="J439" s="576">
        <v>0</v>
      </c>
      <c r="K439" s="495">
        <f t="shared" ca="1" si="192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IFERROR(__xludf.DUMMYFUNCTION("IMPORTRANGE(""https://docs.google.com/spreadsheets/d/1QqKyyYR6Q21VydFLVH3TRQUabQu_ym0Zz7PgGX0-kHA/edit?usp=sharing"",""แผน!FG60"")"),1)</f>
        <v>1</v>
      </c>
      <c r="J440" s="210">
        <v>0</v>
      </c>
      <c r="K440" s="495">
        <f t="shared" ca="1" si="192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IFERROR(__xludf.DUMMYFUNCTION("IMPORTRANGE(""https://docs.google.com/spreadsheets/d/1QqKyyYR6Q21VydFLVH3TRQUabQu_ym0Zz7PgGX0-kHA/edit?usp=sharing"",""แผน!FH60"")"),0)</f>
        <v>0</v>
      </c>
      <c r="J441" s="264">
        <v>0</v>
      </c>
      <c r="K441" s="495">
        <f t="shared" ca="1" si="192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3">I460</f>
        <v>0</v>
      </c>
      <c r="J442" s="582">
        <f t="shared" si="193"/>
        <v>0</v>
      </c>
      <c r="K442" s="583">
        <f t="shared" ca="1" si="192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4">I462</f>
        <v>0</v>
      </c>
      <c r="J443" s="562">
        <f t="shared" si="194"/>
        <v>0</v>
      </c>
      <c r="K443" s="563">
        <f t="shared" ca="1" si="192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5">L445+L446</f>
        <v>0</v>
      </c>
      <c r="M444" s="191">
        <f t="shared" si="195"/>
        <v>0</v>
      </c>
      <c r="N444" s="191">
        <f t="shared" si="195"/>
        <v>0</v>
      </c>
      <c r="O444" s="191">
        <f t="shared" ref="O444:O449" ca="1" si="196">IF(L444&gt;0,N444*100/L444,0)</f>
        <v>0</v>
      </c>
      <c r="P444" s="191">
        <f t="shared" ref="P444:P449" si="197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8">L448+L455</f>
        <v>0</v>
      </c>
      <c r="M445" s="90">
        <f t="shared" si="198"/>
        <v>0</v>
      </c>
      <c r="N445" s="90">
        <f t="shared" si="198"/>
        <v>0</v>
      </c>
      <c r="O445" s="90">
        <f t="shared" si="196"/>
        <v>0</v>
      </c>
      <c r="P445" s="90">
        <f t="shared" si="197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8"/>
        <v>0</v>
      </c>
      <c r="M446" s="90">
        <f t="shared" si="198"/>
        <v>0</v>
      </c>
      <c r="N446" s="90">
        <f t="shared" si="198"/>
        <v>0</v>
      </c>
      <c r="O446" s="90">
        <f t="shared" ca="1" si="196"/>
        <v>0</v>
      </c>
      <c r="P446" s="90">
        <f t="shared" si="197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199">L448+L449</f>
        <v>0</v>
      </c>
      <c r="M447" s="495">
        <f t="shared" si="199"/>
        <v>0</v>
      </c>
      <c r="N447" s="495">
        <f t="shared" si="199"/>
        <v>0</v>
      </c>
      <c r="O447" s="495">
        <f t="shared" ca="1" si="196"/>
        <v>0</v>
      </c>
      <c r="P447" s="495">
        <f t="shared" si="197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6"/>
        <v>0</v>
      </c>
      <c r="P448" s="90">
        <f t="shared" si="197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IFERROR(__xludf.DUMMYFUNCTION("IMPORTRANGE(""https://docs.google.com/spreadsheets/d/1QqKyyYR6Q21VydFLVH3TRQUabQu_ym0Zz7PgGX0-kHA/edit?usp=sharing"",""แผน!FJ60"")"),0)</f>
        <v>0</v>
      </c>
      <c r="M449" s="90">
        <v>0</v>
      </c>
      <c r="N449" s="90">
        <f>N450+N451+N452+N453</f>
        <v>0</v>
      </c>
      <c r="O449" s="90">
        <f t="shared" ca="1" si="196"/>
        <v>0</v>
      </c>
      <c r="P449" s="90">
        <f t="shared" si="197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0">L455+L456</f>
        <v>0</v>
      </c>
      <c r="M454" s="495">
        <f t="shared" si="200"/>
        <v>0</v>
      </c>
      <c r="N454" s="495">
        <f t="shared" si="200"/>
        <v>0</v>
      </c>
      <c r="O454" s="495">
        <f t="shared" ref="O454:O456" ca="1" si="201">IF(L454&gt;0,N454*100/L454,0)</f>
        <v>0</v>
      </c>
      <c r="P454" s="495">
        <f t="shared" ref="P454:P456" si="202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1"/>
        <v>0</v>
      </c>
      <c r="P455" s="90">
        <f t="shared" si="202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IFERROR(__xludf.DUMMYFUNCTION("IMPORTRANGE(""https://docs.google.com/spreadsheets/d/1QqKyyYR6Q21VydFLVH3TRQUabQu_ym0Zz7PgGX0-kHA/edit?usp=sharing"",""แผน!FM60"")"),0)</f>
        <v>0</v>
      </c>
      <c r="M456" s="90">
        <v>0</v>
      </c>
      <c r="N456" s="90">
        <v>0</v>
      </c>
      <c r="O456" s="90">
        <f t="shared" ca="1" si="201"/>
        <v>0</v>
      </c>
      <c r="P456" s="90">
        <f t="shared" si="202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IFERROR(__xludf.DUMMYFUNCTION("IMPORTRANGE(""https://docs.google.com/spreadsheets/d/1QqKyyYR6Q21VydFLVH3TRQUabQu_ym0Zz7PgGX0-kHA/edit?usp=sharing"",""แผน!FN60"")"),0)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IFERROR(__xludf.DUMMYFUNCTION("IMPORTRANGE(""https://docs.google.com/spreadsheets/d/1QqKyyYR6Q21VydFLVH3TRQUabQu_ym0Zz7PgGX0-kHA/edit?usp=sharing"",""แผน!FO60"")"),0)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IFERROR(__xludf.DUMMYFUNCTION("IMPORTRANGE(""https://docs.google.com/spreadsheets/d/1QqKyyYR6Q21VydFLVH3TRQUabQu_ym0Zz7PgGX0-kHA/edit?usp=sharing"",""แผน!FO60"")"),0)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IFERROR(__xludf.DUMMYFUNCTION("IMPORTRANGE(""https://docs.google.com/spreadsheets/d/1QqKyyYR6Q21VydFLVH3TRQUabQu_ym0Zz7PgGX0-kHA/edit?usp=sharing"",""แผน!FN60"")"),0)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 hidden="1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IFERROR(__xludf.DUMMYFUNCTION("IMPORTRANGE(""https://docs.google.com/spreadsheets/d/1QqKyyYR6Q21VydFLVH3TRQUabQu_ym0Zz7PgGX0-kHA/edit?usp=sharing"",""แผน!FX60"")"),0)</f>
        <v>0</v>
      </c>
      <c r="J465" s="582">
        <f>J485+J489+J492</f>
        <v>0</v>
      </c>
      <c r="K465" s="583">
        <f t="shared" ref="K465:K466" ca="1" si="203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 hidden="1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IFERROR(__xludf.DUMMYFUNCTION("IMPORTRANGE(""https://docs.google.com/spreadsheets/d/1QqKyyYR6Q21VydFLVH3TRQUabQu_ym0Zz7PgGX0-kHA/edit?usp=sharing"",""แผน!FW60"")"),0)</f>
        <v>0</v>
      </c>
      <c r="J466" s="562">
        <f>J483+J487</f>
        <v>0</v>
      </c>
      <c r="K466" s="563">
        <f t="shared" ca="1" si="203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 hidden="1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4">L468+L469</f>
        <v>0</v>
      </c>
      <c r="M467" s="191">
        <f t="shared" si="204"/>
        <v>0</v>
      </c>
      <c r="N467" s="191">
        <f t="shared" si="204"/>
        <v>0</v>
      </c>
      <c r="O467" s="191">
        <f t="shared" ref="O467:O472" ca="1" si="205">IF(L467&gt;0,N467*100/L467,0)</f>
        <v>0</v>
      </c>
      <c r="P467" s="191">
        <f t="shared" ref="P467:P472" si="206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7">L471+L478</f>
        <v>0</v>
      </c>
      <c r="M468" s="90">
        <f t="shared" si="207"/>
        <v>0</v>
      </c>
      <c r="N468" s="90">
        <f t="shared" si="207"/>
        <v>0</v>
      </c>
      <c r="O468" s="90">
        <f t="shared" si="205"/>
        <v>0</v>
      </c>
      <c r="P468" s="90">
        <f t="shared" si="206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7"/>
        <v>0</v>
      </c>
      <c r="M469" s="90">
        <f t="shared" si="207"/>
        <v>0</v>
      </c>
      <c r="N469" s="90">
        <f t="shared" si="207"/>
        <v>0</v>
      </c>
      <c r="O469" s="90">
        <f t="shared" ca="1" si="205"/>
        <v>0</v>
      </c>
      <c r="P469" s="90">
        <f t="shared" si="206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 hidden="1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8">L471+L472</f>
        <v>0</v>
      </c>
      <c r="M470" s="495">
        <f t="shared" si="208"/>
        <v>0</v>
      </c>
      <c r="N470" s="495">
        <f t="shared" si="208"/>
        <v>0</v>
      </c>
      <c r="O470" s="495">
        <f t="shared" ca="1" si="205"/>
        <v>0</v>
      </c>
      <c r="P470" s="495">
        <f t="shared" si="206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5"/>
        <v>0</v>
      </c>
      <c r="P471" s="90">
        <f t="shared" si="206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IFERROR(__xludf.DUMMYFUNCTION("IMPORTRANGE(""https://docs.google.com/spreadsheets/d/1QqKyyYR6Q21VydFLVH3TRQUabQu_ym0Zz7PgGX0-kHA/edit?usp=sharing"",""แผน!FS60"")"),0)</f>
        <v>0</v>
      </c>
      <c r="M472" s="90">
        <v>0</v>
      </c>
      <c r="N472" s="90">
        <f>N473+N474+N475+N476</f>
        <v>0</v>
      </c>
      <c r="O472" s="90">
        <f t="shared" ca="1" si="205"/>
        <v>0</v>
      </c>
      <c r="P472" s="90">
        <f t="shared" si="206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 hidden="1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 hidden="1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 hidden="1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 hidden="1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 hidden="1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09">L478+L479</f>
        <v>0</v>
      </c>
      <c r="M477" s="495">
        <f t="shared" si="209"/>
        <v>0</v>
      </c>
      <c r="N477" s="495">
        <f t="shared" si="209"/>
        <v>0</v>
      </c>
      <c r="O477" s="495">
        <f t="shared" ref="O477:O479" ca="1" si="210">IF(L477&gt;0,N477*100/L477,0)</f>
        <v>0</v>
      </c>
      <c r="P477" s="495">
        <f t="shared" ref="P477:P479" si="211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0"/>
        <v>0</v>
      </c>
      <c r="P478" s="90">
        <f t="shared" si="211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IFERROR(__xludf.DUMMYFUNCTION("IMPORTRANGE(""https://docs.google.com/spreadsheets/d/1QqKyyYR6Q21VydFLVH3TRQUabQu_ym0Zz7PgGX0-kHA/edit?usp=sharing"",""แผน!FV60"")"),0)</f>
        <v>0</v>
      </c>
      <c r="M479" s="90">
        <v>0</v>
      </c>
      <c r="N479" s="90">
        <v>0</v>
      </c>
      <c r="O479" s="90">
        <f t="shared" ca="1" si="210"/>
        <v>0</v>
      </c>
      <c r="P479" s="90">
        <f t="shared" si="211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 hidden="1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 hidden="1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 hidden="1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 hidden="1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IFERROR(__xludf.DUMMYFUNCTION("IMPORTRANGE(""https://docs.google.com/spreadsheets/d/1QqKyyYR6Q21VydFLVH3TRQUabQu_ym0Zz7PgGX0-kHA/edit?usp=sharing"",""แผน!FY60"")"),0)</f>
        <v>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 hidden="1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 hidden="1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IFERROR(__xludf.DUMMYFUNCTION("IMPORTRANGE(""https://docs.google.com/spreadsheets/d/1QqKyyYR6Q21VydFLVH3TRQUabQu_ym0Zz7PgGX0-kHA/edit?usp=sharing"",""แผน!FZ60"")"),0)</f>
        <v>0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 hidden="1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 hidden="1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IFERROR(__xludf.DUMMYFUNCTION("IMPORTRANGE(""https://docs.google.com/spreadsheets/d/1QqKyyYR6Q21VydFLVH3TRQUabQu_ym0Zz7PgGX0-kHA/edit?usp=sharing"",""แผน!GA60"")"),0)</f>
        <v>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 hidden="1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 hidden="1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IFERROR(__xludf.DUMMYFUNCTION("IMPORTRANGE(""https://docs.google.com/spreadsheets/d/1QqKyyYR6Q21VydFLVH3TRQUabQu_ym0Zz7PgGX0-kHA/edit?usp=sharing"",""แผน!GB60"")"),0)</f>
        <v>0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 hidden="1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 hidden="1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 hidden="1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IFERROR(__xludf.DUMMYFUNCTION("IMPORTRANGE(""https://docs.google.com/spreadsheets/d/1QqKyyYR6Q21VydFLVH3TRQUabQu_ym0Zz7PgGX0-kHA/edit?usp=sharing"",""แผน!GC60"")"),0)</f>
        <v>0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 hidden="1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 hidden="1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 hidden="1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IFERROR(__xludf.DUMMYFUNCTION("IMPORTRANGE(""https://docs.google.com/spreadsheets/d/1QqKyyYR6Q21VydFLVH3TRQUabQu_ym0Zz7PgGX0-kHA/edit?usp=sharing"",""แผน!FY60"")"),0)</f>
        <v>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 hidden="1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 hidden="1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 hidden="1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IFERROR(__xludf.DUMMYFUNCTION("IMPORTRANGE(""https://docs.google.com/spreadsheets/d/1QqKyyYR6Q21VydFLVH3TRQUabQu_ym0Zz7PgGX0-kHA/edit?usp=sharing"",""แผน!GA60"")"),0)</f>
        <v>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 hidden="1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2">J516</f>
        <v>0</v>
      </c>
      <c r="K500" s="626">
        <f t="shared" ref="K500:K501" si="213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2"/>
        <v>0</v>
      </c>
      <c r="K501" s="635">
        <f t="shared" si="213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4">L503+L504</f>
        <v>0</v>
      </c>
      <c r="M502" s="639">
        <f t="shared" si="214"/>
        <v>0</v>
      </c>
      <c r="N502" s="639">
        <f t="shared" si="214"/>
        <v>0</v>
      </c>
      <c r="O502" s="639">
        <f t="shared" ref="O502:O507" si="215">IF(L502&gt;0,N502*100/L502,0)</f>
        <v>0</v>
      </c>
      <c r="P502" s="639">
        <f t="shared" ref="P502:P507" si="216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7">L506+L513</f>
        <v>0</v>
      </c>
      <c r="M503" s="90">
        <f t="shared" si="217"/>
        <v>0</v>
      </c>
      <c r="N503" s="90">
        <f t="shared" si="217"/>
        <v>0</v>
      </c>
      <c r="O503" s="90">
        <f t="shared" si="215"/>
        <v>0</v>
      </c>
      <c r="P503" s="90">
        <f t="shared" si="216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7"/>
        <v>0</v>
      </c>
      <c r="M504" s="90">
        <f t="shared" si="217"/>
        <v>0</v>
      </c>
      <c r="N504" s="90">
        <f t="shared" si="217"/>
        <v>0</v>
      </c>
      <c r="O504" s="90">
        <f t="shared" si="215"/>
        <v>0</v>
      </c>
      <c r="P504" s="90">
        <f t="shared" si="216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8">L506+L507</f>
        <v>0</v>
      </c>
      <c r="M505" s="90">
        <f t="shared" si="218"/>
        <v>0</v>
      </c>
      <c r="N505" s="90">
        <f t="shared" si="218"/>
        <v>0</v>
      </c>
      <c r="O505" s="90">
        <f t="shared" si="215"/>
        <v>0</v>
      </c>
      <c r="P505" s="90">
        <f t="shared" si="216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5"/>
        <v>0</v>
      </c>
      <c r="P506" s="90">
        <f t="shared" si="216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5"/>
        <v>0</v>
      </c>
      <c r="P507" s="90">
        <f t="shared" si="216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19">L513+L514</f>
        <v>0</v>
      </c>
      <c r="M512" s="90">
        <f t="shared" si="219"/>
        <v>0</v>
      </c>
      <c r="N512" s="90">
        <f t="shared" si="219"/>
        <v>0</v>
      </c>
      <c r="O512" s="90">
        <f t="shared" ref="O512:O514" si="220">IF(L512&gt;0,N512*100/L512,0)</f>
        <v>0</v>
      </c>
      <c r="P512" s="90">
        <f t="shared" ref="P512:P514" si="221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0"/>
        <v>0</v>
      </c>
      <c r="P513" s="90">
        <f t="shared" si="221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0"/>
        <v>0</v>
      </c>
      <c r="P514" s="90">
        <f t="shared" si="221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2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2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 hidden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3">I537</f>
        <v>0</v>
      </c>
      <c r="J522" s="698">
        <f t="shared" ca="1" si="223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4">L524+L525</f>
        <v>0</v>
      </c>
      <c r="M523" s="191">
        <f t="shared" si="224"/>
        <v>0</v>
      </c>
      <c r="N523" s="191">
        <f t="shared" si="224"/>
        <v>0</v>
      </c>
      <c r="O523" s="191">
        <f t="shared" ref="O523:O528" ca="1" si="225">IF(L523&gt;0,N523*100/L523,0)</f>
        <v>0</v>
      </c>
      <c r="P523" s="191">
        <f t="shared" ref="P523:P528" si="226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7">L527+L534</f>
        <v>0</v>
      </c>
      <c r="M524" s="90">
        <f t="shared" si="227"/>
        <v>0</v>
      </c>
      <c r="N524" s="90">
        <f t="shared" si="227"/>
        <v>0</v>
      </c>
      <c r="O524" s="90">
        <f t="shared" si="225"/>
        <v>0</v>
      </c>
      <c r="P524" s="90">
        <f t="shared" si="226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7"/>
        <v>0</v>
      </c>
      <c r="M525" s="90">
        <f t="shared" si="227"/>
        <v>0</v>
      </c>
      <c r="N525" s="90">
        <f t="shared" si="227"/>
        <v>0</v>
      </c>
      <c r="O525" s="90">
        <f t="shared" ca="1" si="225"/>
        <v>0</v>
      </c>
      <c r="P525" s="90">
        <f t="shared" si="226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8">L527+L528</f>
        <v>0</v>
      </c>
      <c r="M526" s="495">
        <f t="shared" si="228"/>
        <v>0</v>
      </c>
      <c r="N526" s="495">
        <f t="shared" si="228"/>
        <v>0</v>
      </c>
      <c r="O526" s="495">
        <f t="shared" ca="1" si="225"/>
        <v>0</v>
      </c>
      <c r="P526" s="495">
        <f t="shared" si="226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5"/>
        <v>0</v>
      </c>
      <c r="P527" s="90">
        <f t="shared" si="226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IFERROR(__xludf.DUMMYFUNCTION("IMPORTRANGE(""https://docs.google.com/spreadsheets/d/1QqKyyYR6Q21VydFLVH3TRQUabQu_ym0Zz7PgGX0-kHA/edit?usp=sharing"",""แผน!GQ60"")"),0)</f>
        <v>0</v>
      </c>
      <c r="M528" s="90">
        <v>0</v>
      </c>
      <c r="N528" s="90">
        <f>N529+N530+N531+N532</f>
        <v>0</v>
      </c>
      <c r="O528" s="90">
        <f t="shared" ca="1" si="225"/>
        <v>0</v>
      </c>
      <c r="P528" s="90">
        <f t="shared" si="226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29">L534+L535</f>
        <v>0</v>
      </c>
      <c r="M533" s="495">
        <f t="shared" si="229"/>
        <v>0</v>
      </c>
      <c r="N533" s="495">
        <f t="shared" si="229"/>
        <v>0</v>
      </c>
      <c r="O533" s="495">
        <f t="shared" ref="O533:O535" ca="1" si="230">IF(L533&gt;0,N533*100/L533,0)</f>
        <v>0</v>
      </c>
      <c r="P533" s="495">
        <f t="shared" ref="P533:P535" si="231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0"/>
        <v>0</v>
      </c>
      <c r="P534" s="90">
        <f t="shared" si="231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IFERROR(__xludf.DUMMYFUNCTION("IMPORTRANGE(""https://docs.google.com/spreadsheets/d/1QqKyyYR6Q21VydFLVH3TRQUabQu_ym0Zz7PgGX0-kHA/edit?usp=sharing"",""แผน!GT60"")"),0)</f>
        <v>0</v>
      </c>
      <c r="M535" s="90">
        <v>0</v>
      </c>
      <c r="N535" s="90">
        <v>0</v>
      </c>
      <c r="O535" s="90">
        <f t="shared" ca="1" si="230"/>
        <v>0</v>
      </c>
      <c r="P535" s="90">
        <f t="shared" si="231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IFERROR(__xludf.DUMMYFUNCTION("IMPORTRANGE(""https://docs.google.com/spreadsheets/d/1QqKyyYR6Q21VydFLVH3TRQUabQu_ym0Zz7PgGX0-kHA/edit?usp=sharing"",""แผน!GU60"")"),0)</f>
        <v>0</v>
      </c>
      <c r="J537" s="673">
        <f ca="1">IF(AND(J538=I538,J539=I539,J540=I540,J541=I541),I537,0)</f>
        <v>0</v>
      </c>
      <c r="K537" s="495">
        <f t="shared" ref="K537:K543" ca="1" si="232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IFERROR(__xludf.DUMMYFUNCTION("IMPORTRANGE(""https://docs.google.com/spreadsheets/d/1QqKyyYR6Q21VydFLVH3TRQUabQu_ym0Zz7PgGX0-kHA/edit?usp=sharing"",""แผน!GV60"")"),0)</f>
        <v>0</v>
      </c>
      <c r="J538" s="210">
        <v>0</v>
      </c>
      <c r="K538" s="495">
        <f t="shared" ca="1" si="232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IFERROR(__xludf.DUMMYFUNCTION("IMPORTRANGE(""https://docs.google.com/spreadsheets/d/1QqKyyYR6Q21VydFLVH3TRQUabQu_ym0Zz7PgGX0-kHA/edit?usp=sharing"",""แผน!GW60"")"),0)</f>
        <v>0</v>
      </c>
      <c r="J539" s="210">
        <v>0</v>
      </c>
      <c r="K539" s="495">
        <f t="shared" ca="1" si="232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IFERROR(__xludf.DUMMYFUNCTION("IMPORTRANGE(""https://docs.google.com/spreadsheets/d/1QqKyyYR6Q21VydFLVH3TRQUabQu_ym0Zz7PgGX0-kHA/edit?usp=sharing"",""แผน!GX60"")"),0)</f>
        <v>0</v>
      </c>
      <c r="J540" s="210">
        <v>0</v>
      </c>
      <c r="K540" s="495">
        <f t="shared" ca="1" si="232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IFERROR(__xludf.DUMMYFUNCTION("IMPORTRANGE(""https://docs.google.com/spreadsheets/d/1QqKyyYR6Q21VydFLVH3TRQUabQu_ym0Zz7PgGX0-kHA/edit?usp=sharing"",""แผน!GY60"")"),0)</f>
        <v>0</v>
      </c>
      <c r="J541" s="210">
        <v>0</v>
      </c>
      <c r="K541" s="495">
        <f t="shared" ca="1" si="232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IFERROR(__xludf.DUMMYFUNCTION("IMPORTRANGE(""https://docs.google.com/spreadsheets/d/1QqKyyYR6Q21VydFLVH3TRQUabQu_ym0Zz7PgGX0-kHA/edit?usp=sharing"",""แผน!GZ60"")"),0)</f>
        <v>0</v>
      </c>
      <c r="J542" s="210">
        <v>0</v>
      </c>
      <c r="K542" s="495">
        <f t="shared" ca="1" si="232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3">I559</f>
        <v>0</v>
      </c>
      <c r="J543" s="679">
        <f t="shared" si="233"/>
        <v>0</v>
      </c>
      <c r="K543" s="680">
        <f t="shared" ca="1" si="232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4">L545+L546</f>
        <v>66000</v>
      </c>
      <c r="M544" s="151">
        <f t="shared" si="234"/>
        <v>0</v>
      </c>
      <c r="N544" s="151">
        <f t="shared" si="234"/>
        <v>0</v>
      </c>
      <c r="O544" s="151">
        <f t="shared" ref="O544:O549" ca="1" si="235">IF(L544&gt;0,N544*100/L544,0)</f>
        <v>0</v>
      </c>
      <c r="P544" s="151">
        <f t="shared" ref="P544:P549" si="236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7">L548+L556</f>
        <v>0</v>
      </c>
      <c r="M545" s="90">
        <f t="shared" ref="M545:N546" si="238">M548+M555</f>
        <v>0</v>
      </c>
      <c r="N545" s="90">
        <f t="shared" si="238"/>
        <v>0</v>
      </c>
      <c r="O545" s="90">
        <f t="shared" si="235"/>
        <v>0</v>
      </c>
      <c r="P545" s="90">
        <f t="shared" si="236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7"/>
        <v>66000</v>
      </c>
      <c r="M546" s="90">
        <f t="shared" si="238"/>
        <v>0</v>
      </c>
      <c r="N546" s="90">
        <f t="shared" si="238"/>
        <v>0</v>
      </c>
      <c r="O546" s="90">
        <f t="shared" ca="1" si="235"/>
        <v>0</v>
      </c>
      <c r="P546" s="90">
        <f t="shared" si="236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39">L548+L549</f>
        <v>66000</v>
      </c>
      <c r="M547" s="495">
        <f t="shared" si="239"/>
        <v>0</v>
      </c>
      <c r="N547" s="495">
        <f t="shared" si="239"/>
        <v>0</v>
      </c>
      <c r="O547" s="495">
        <f t="shared" ca="1" si="235"/>
        <v>0</v>
      </c>
      <c r="P547" s="495">
        <f t="shared" si="236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5"/>
        <v>0</v>
      </c>
      <c r="P548" s="90">
        <f t="shared" si="236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IFERROR(__xludf.DUMMYFUNCTION("IMPORTRANGE(""https://docs.google.com/spreadsheets/d/1QqKyyYR6Q21VydFLVH3TRQUabQu_ym0Zz7PgGX0-kHA/edit?usp=sharing"",""แผน!HB60"")"),66000)</f>
        <v>66000</v>
      </c>
      <c r="M549" s="90">
        <v>0</v>
      </c>
      <c r="N549" s="90">
        <f>N550+N551+N552+N553+N554</f>
        <v>0</v>
      </c>
      <c r="O549" s="90">
        <f t="shared" ca="1" si="235"/>
        <v>0</v>
      </c>
      <c r="P549" s="90">
        <f t="shared" si="236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0">L556+L557</f>
        <v>0</v>
      </c>
      <c r="M555" s="495">
        <f t="shared" si="240"/>
        <v>0</v>
      </c>
      <c r="N555" s="495">
        <f t="shared" si="240"/>
        <v>0</v>
      </c>
      <c r="O555" s="495">
        <f t="shared" ref="O555:O557" ca="1" si="241">IF(L555&gt;0,N555*100/L555,0)</f>
        <v>0</v>
      </c>
      <c r="P555" s="495">
        <f t="shared" ref="P555:P557" si="242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1"/>
        <v>0</v>
      </c>
      <c r="P556" s="90">
        <f t="shared" si="242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IFERROR(__xludf.DUMMYFUNCTION("IMPORTRANGE(""https://docs.google.com/spreadsheets/d/1QqKyyYR6Q21VydFLVH3TRQUabQu_ym0Zz7PgGX0-kHA/edit?usp=sharing"",""แผน!HF60"")"),0)</f>
        <v>0</v>
      </c>
      <c r="M557" s="90">
        <v>0</v>
      </c>
      <c r="N557" s="90">
        <v>0</v>
      </c>
      <c r="O557" s="90">
        <f t="shared" ca="1" si="241"/>
        <v>0</v>
      </c>
      <c r="P557" s="90">
        <f t="shared" si="242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3">I576</f>
        <v>0</v>
      </c>
      <c r="J559" s="698">
        <f t="shared" si="243"/>
        <v>0</v>
      </c>
      <c r="K559" s="669">
        <f t="shared" ref="K559:K561" ca="1" si="244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IFERROR(__xludf.DUMMYFUNCTION("IMPORTRANGE(""https://docs.google.com/spreadsheets/d/1QqKyyYR6Q21VydFLVH3TRQUabQu_ym0Zz7PgGX0-kHA/edit?usp=sharing"",""แผน!HH60"")"),0)</f>
        <v>0</v>
      </c>
      <c r="J560" s="189">
        <f t="shared" ref="J560:J561" si="245">J562+J564+J566</f>
        <v>0</v>
      </c>
      <c r="K560" s="409">
        <f t="shared" ca="1" si="244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IFERROR(__xludf.DUMMYFUNCTION("IMPORTRANGE(""https://docs.google.com/spreadsheets/d/1QqKyyYR6Q21VydFLVH3TRQUabQu_ym0Zz7PgGX0-kHA/edit?usp=sharing"",""แผน!HG60"")"),0)</f>
        <v>0</v>
      </c>
      <c r="J561" s="189">
        <f t="shared" si="245"/>
        <v>0</v>
      </c>
      <c r="K561" s="409">
        <f t="shared" ca="1" si="244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IFERROR(__xludf.DUMMYFUNCTION("IMPORTRANGE(""https://docs.google.com/spreadsheets/d/1QqKyyYR6Q21VydFLVH3TRQUabQu_ym0Zz7PgGX0-kHA/edit?usp=sharing"",""แผน!HH60"")"),0)</f>
        <v>0</v>
      </c>
      <c r="J568" s="673">
        <f t="shared" ref="J568:J569" si="246">J570+J572+J574</f>
        <v>0</v>
      </c>
      <c r="K568" s="409">
        <f t="shared" ref="K568:K569" ca="1" si="247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IFERROR(__xludf.DUMMYFUNCTION("IMPORTRANGE(""https://docs.google.com/spreadsheets/d/1QqKyyYR6Q21VydFLVH3TRQUabQu_ym0Zz7PgGX0-kHA/edit?usp=sharing"",""แผน!HG60"")"),0)</f>
        <v>0</v>
      </c>
      <c r="J569" s="673">
        <f t="shared" si="246"/>
        <v>0</v>
      </c>
      <c r="K569" s="409">
        <f t="shared" ca="1" si="247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IFERROR(__xludf.DUMMYFUNCTION("IMPORTRANGE(""https://docs.google.com/spreadsheets/d/1QqKyyYR6Q21VydFLVH3TRQUabQu_ym0Zz7PgGX0-kHA/edit?usp=sharing"",""แผน!HH60"")"),0)</f>
        <v>0</v>
      </c>
      <c r="J576" s="673">
        <f t="shared" ref="J576:J577" si="248">J578+J580+J582+J588+J590</f>
        <v>0</v>
      </c>
      <c r="K576" s="409">
        <f t="shared" ref="K576:K577" ca="1" si="249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IFERROR(__xludf.DUMMYFUNCTION("IMPORTRANGE(""https://docs.google.com/spreadsheets/d/1QqKyyYR6Q21VydFLVH3TRQUabQu_ym0Zz7PgGX0-kHA/edit?usp=sharing"",""แผน!HG60"")"),0)</f>
        <v>0</v>
      </c>
      <c r="J577" s="673">
        <f t="shared" si="248"/>
        <v>0</v>
      </c>
      <c r="K577" s="409">
        <f t="shared" ca="1" si="249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0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0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 hidden="1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1">I593</f>
        <v>0</v>
      </c>
      <c r="J592" s="698">
        <f t="shared" si="251"/>
        <v>0</v>
      </c>
      <c r="K592" s="669">
        <f t="shared" ref="K592:K594" ca="1" si="252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 hidden="1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IFERROR(__xludf.DUMMYFUNCTION("IMPORTRANGE(""https://docs.google.com/spreadsheets/d/1QqKyyYR6Q21VydFLVH3TRQUabQu_ym0Zz7PgGX0-kHA/edit?usp=sharing"",""แผน!HJ60"")"),0)</f>
        <v>0</v>
      </c>
      <c r="J593" s="189">
        <f t="shared" ref="J593:J594" si="253">J595+J603+J609</f>
        <v>0</v>
      </c>
      <c r="K593" s="409">
        <f t="shared" ca="1" si="252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 hidden="1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IFERROR(__xludf.DUMMYFUNCTION("IMPORTRANGE(""https://docs.google.com/spreadsheets/d/1QqKyyYR6Q21VydFLVH3TRQUabQu_ym0Zz7PgGX0-kHA/edit?usp=sharing"",""แผน!HI60"")"),0)</f>
        <v>0</v>
      </c>
      <c r="J594" s="189">
        <f t="shared" si="253"/>
        <v>0</v>
      </c>
      <c r="K594" s="409">
        <f t="shared" ca="1" si="252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 hidden="1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4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 hidden="1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4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 hidden="1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 hidden="1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 hidden="1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 hidden="1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 hidden="1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 hidden="1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 hidden="1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5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 hidden="1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5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 hidden="1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 hidden="1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 hidden="1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 hidden="1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 hidden="1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 hidden="1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6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7">J614+J616</f>
        <v>0</v>
      </c>
      <c r="K612" s="707">
        <f t="shared" si="256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7"/>
        <v>0</v>
      </c>
      <c r="K613" s="707">
        <f t="shared" si="256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IFERROR(__xludf.DUMMYFUNCTION("IMPORTRANGE(""https://docs.google.com/spreadsheets/d/1QqKyyYR6Q21VydFLVH3TRQUabQu_ym0Zz7PgGX0-kHA/edit?usp=sharing"",""แผน!HL60"")"),0)</f>
        <v>0</v>
      </c>
      <c r="J620" s="718">
        <f t="shared" ref="J620:J621" si="258">J622+J624+J626</f>
        <v>0</v>
      </c>
      <c r="K620" s="719">
        <f t="shared" ref="K620:K621" ca="1" si="259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IFERROR(__xludf.DUMMYFUNCTION("IMPORTRANGE(""https://docs.google.com/spreadsheets/d/1QqKyyYR6Q21VydFLVH3TRQUabQu_ym0Zz7PgGX0-kHA/edit?usp=sharing"",""แผน!HK60"")"),0)</f>
        <v>0</v>
      </c>
      <c r="J621" s="718">
        <f t="shared" si="258"/>
        <v>0</v>
      </c>
      <c r="K621" s="719">
        <f t="shared" ca="1" si="259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0">I651</f>
        <v>0</v>
      </c>
      <c r="J628" s="731">
        <f t="shared" ca="1" si="260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1">L630+L631</f>
        <v>0</v>
      </c>
      <c r="M629" s="191">
        <f t="shared" si="261"/>
        <v>0</v>
      </c>
      <c r="N629" s="191">
        <f t="shared" si="261"/>
        <v>0</v>
      </c>
      <c r="O629" s="191">
        <f t="shared" ref="O629:O634" ca="1" si="262">IF(L629&gt;0,N629*100/L629,0)</f>
        <v>0</v>
      </c>
      <c r="P629" s="191">
        <f t="shared" ref="P629:P634" si="263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4">L633+L640</f>
        <v>0</v>
      </c>
      <c r="M630" s="90">
        <f t="shared" si="264"/>
        <v>0</v>
      </c>
      <c r="N630" s="90">
        <f t="shared" si="264"/>
        <v>0</v>
      </c>
      <c r="O630" s="90">
        <f t="shared" si="262"/>
        <v>0</v>
      </c>
      <c r="P630" s="90">
        <f t="shared" si="263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4"/>
        <v>0</v>
      </c>
      <c r="M631" s="90">
        <f t="shared" si="264"/>
        <v>0</v>
      </c>
      <c r="N631" s="90">
        <f t="shared" si="264"/>
        <v>0</v>
      </c>
      <c r="O631" s="90">
        <f t="shared" ca="1" si="262"/>
        <v>0</v>
      </c>
      <c r="P631" s="90">
        <f t="shared" si="263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5">L633+L634</f>
        <v>0</v>
      </c>
      <c r="M632" s="495">
        <f t="shared" si="265"/>
        <v>0</v>
      </c>
      <c r="N632" s="495">
        <f t="shared" si="265"/>
        <v>0</v>
      </c>
      <c r="O632" s="495">
        <f t="shared" ca="1" si="262"/>
        <v>0</v>
      </c>
      <c r="P632" s="495">
        <f t="shared" si="263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2"/>
        <v>0</v>
      </c>
      <c r="P633" s="90">
        <f t="shared" si="263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IFERROR(__xludf.DUMMYFUNCTION("IMPORTRANGE(""https://docs.google.com/spreadsheets/d/1QqKyyYR6Q21VydFLVH3TRQUabQu_ym0Zz7PgGX0-kHA/edit?usp=sharing"",""แผน!HN60"")"),0)</f>
        <v>0</v>
      </c>
      <c r="M634" s="90">
        <v>0</v>
      </c>
      <c r="N634" s="90">
        <f>N635+N636+N637+N638</f>
        <v>0</v>
      </c>
      <c r="O634" s="90">
        <f t="shared" ca="1" si="262"/>
        <v>0</v>
      </c>
      <c r="P634" s="90">
        <f t="shared" si="263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6">L640+L641</f>
        <v>0</v>
      </c>
      <c r="M639" s="495">
        <f t="shared" si="266"/>
        <v>0</v>
      </c>
      <c r="N639" s="495">
        <f t="shared" si="266"/>
        <v>0</v>
      </c>
      <c r="O639" s="495">
        <f t="shared" ref="O639:O641" ca="1" si="267">IF(L639&gt;0,N639*100/L639,0)</f>
        <v>0</v>
      </c>
      <c r="P639" s="495">
        <f t="shared" ref="P639:P641" si="268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7"/>
        <v>0</v>
      </c>
      <c r="P640" s="90">
        <f t="shared" si="268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IFERROR(__xludf.DUMMYFUNCTION("IMPORTRANGE(""https://docs.google.com/spreadsheets/d/1QqKyyYR6Q21VydFLVH3TRQUabQu_ym0Zz7PgGX0-kHA/edit?usp=sharing"",""แผน!HQ60"")"),0)</f>
        <v>0</v>
      </c>
      <c r="M641" s="90">
        <v>0</v>
      </c>
      <c r="N641" s="90">
        <v>0</v>
      </c>
      <c r="O641" s="90">
        <f t="shared" ca="1" si="267"/>
        <v>0</v>
      </c>
      <c r="P641" s="90">
        <f t="shared" si="268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IFERROR(__xludf.DUMMYFUNCTION("IMPORTRANGE(""https://docs.google.com/spreadsheets/d/1QqKyyYR6Q21VydFLVH3TRQUabQu_ym0Zz7PgGX0-kHA/edit?usp=sharing"",""แผน!HR60"")"),0)</f>
        <v>0</v>
      </c>
      <c r="J643" s="210">
        <v>0</v>
      </c>
      <c r="K643" s="159">
        <f t="shared" ref="K643:K652" ca="1" si="269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IFERROR(__xludf.DUMMYFUNCTION("IMPORTRANGE(""https://docs.google.com/spreadsheets/d/1QqKyyYR6Q21VydFLVH3TRQUabQu_ym0Zz7PgGX0-kHA/edit?usp=sharing"",""แผน!HR60"")"),0)</f>
        <v>0</v>
      </c>
      <c r="J644" s="210">
        <v>0</v>
      </c>
      <c r="K644" s="159">
        <f t="shared" ca="1" si="269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IFERROR(__xludf.DUMMYFUNCTION("IMPORTRANGE(""https://docs.google.com/spreadsheets/d/1XWAQStnk-4SwqDmLtmXYiTMKHgktTP8We1SCoS47DrQ/edit?usp=sharing"",""จัดที่ดิน!AS60"")"),0)</f>
        <v>0</v>
      </c>
      <c r="K645" s="159">
        <f t="shared" si="269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IFERROR(__xludf.DUMMYFUNCTION("IMPORTRANGE(""https://docs.google.com/spreadsheets/d/1XWAQStnk-4SwqDmLtmXYiTMKHgktTP8We1SCoS47DrQ/edit?usp=sharing"",""จัดที่ดิน!AT60"")"),0)</f>
        <v>0</v>
      </c>
      <c r="K646" s="495">
        <f t="shared" si="269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IFERROR(__xludf.DUMMYFUNCTION("IMPORTRANGE(""https://docs.google.com/spreadsheets/d/1QqKyyYR6Q21VydFLVH3TRQUabQu_ym0Zz7PgGX0-kHA/edit?usp=sharing"",""แผน!HS60"")"),0)</f>
        <v>0</v>
      </c>
      <c r="J647" s="264">
        <f ca="1">IFERROR(__xludf.DUMMYFUNCTION("IMPORTRANGE(""https://docs.google.com/spreadsheets/d/1XWAQStnk-4SwqDmLtmXYiTMKHgktTP8We1SCoS47DrQ/edit?usp=sharing"",""จัดที่ดิน!AU60"")"),0)</f>
        <v>0</v>
      </c>
      <c r="K647" s="159">
        <f t="shared" ca="1" si="269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IFERROR(__xludf.DUMMYFUNCTION("IMPORTRANGE(""https://docs.google.com/spreadsheets/d/1XWAQStnk-4SwqDmLtmXYiTMKHgktTP8We1SCoS47DrQ/edit?usp=sharing"",""จัดที่ดิน!AV60"")"),0)</f>
        <v>0</v>
      </c>
      <c r="K648" s="495">
        <f t="shared" si="269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IFERROR(__xludf.DUMMYFUNCTION("IMPORTRANGE(""https://docs.google.com/spreadsheets/d/1QqKyyYR6Q21VydFLVH3TRQUabQu_ym0Zz7PgGX0-kHA/edit?usp=sharing"",""แผน!HS60"")"),0)</f>
        <v>0</v>
      </c>
      <c r="J649" s="264">
        <f ca="1">IFERROR(__xludf.DUMMYFUNCTION("IMPORTRANGE(""https://docs.google.com/spreadsheets/d/1XWAQStnk-4SwqDmLtmXYiTMKHgktTP8We1SCoS47DrQ/edit?usp=sharing"",""จัดที่ดิน!AW60"")"),0)</f>
        <v>0</v>
      </c>
      <c r="K649" s="159">
        <f t="shared" ca="1" si="269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IFERROR(__xludf.DUMMYFUNCTION("IMPORTRANGE(""https://docs.google.com/spreadsheets/d/1XWAQStnk-4SwqDmLtmXYiTMKHgktTP8We1SCoS47DrQ/edit?usp=sharing"",""จัดที่ดิน!AX60"")"),0)</f>
        <v>0</v>
      </c>
      <c r="K650" s="495">
        <f t="shared" si="269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IFERROR(__xludf.DUMMYFUNCTION("IMPORTRANGE(""https://docs.google.com/spreadsheets/d/1QqKyyYR6Q21VydFLVH3TRQUabQu_ym0Zz7PgGX0-kHA/edit?usp=sharing"",""แผน!HS60"")"),0)</f>
        <v>0</v>
      </c>
      <c r="J651" s="264">
        <f ca="1">IFERROR(__xludf.DUMMYFUNCTION("IMPORTRANGE(""https://docs.google.com/spreadsheets/d/1XWAQStnk-4SwqDmLtmXYiTMKHgktTP8We1SCoS47DrQ/edit?usp=sharing"",""จัดที่ดิน!AY60"")"),0)</f>
        <v>0</v>
      </c>
      <c r="K651" s="159">
        <f t="shared" ca="1" si="269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IFERROR(__xludf.DUMMYFUNCTION("IMPORTRANGE(""https://docs.google.com/spreadsheets/d/1XWAQStnk-4SwqDmLtmXYiTMKHgktTP8We1SCoS47DrQ/edit?usp=sharing"",""จัดที่ดิน!AZ60"")"),0)</f>
        <v>0</v>
      </c>
      <c r="K652" s="499">
        <f t="shared" si="269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 hidden="1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0">I669</f>
        <v>0</v>
      </c>
      <c r="J654" s="698">
        <f t="shared" si="270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 hidden="1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1">L656+L657</f>
        <v>0</v>
      </c>
      <c r="M655" s="191">
        <f t="shared" si="271"/>
        <v>0</v>
      </c>
      <c r="N655" s="191">
        <f t="shared" si="271"/>
        <v>0</v>
      </c>
      <c r="O655" s="191">
        <f t="shared" ref="O655:O660" ca="1" si="272">IF(L655&gt;0,N655*100/L655,0)</f>
        <v>0</v>
      </c>
      <c r="P655" s="191">
        <f t="shared" ref="P655:P660" si="273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4">L659+L666</f>
        <v>0</v>
      </c>
      <c r="M656" s="90">
        <f t="shared" si="274"/>
        <v>0</v>
      </c>
      <c r="N656" s="90">
        <f t="shared" si="274"/>
        <v>0</v>
      </c>
      <c r="O656" s="90">
        <f t="shared" si="272"/>
        <v>0</v>
      </c>
      <c r="P656" s="90">
        <f t="shared" si="273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4"/>
        <v>0</v>
      </c>
      <c r="M657" s="90">
        <f t="shared" si="274"/>
        <v>0</v>
      </c>
      <c r="N657" s="90">
        <f t="shared" si="274"/>
        <v>0</v>
      </c>
      <c r="O657" s="90">
        <f t="shared" ca="1" si="272"/>
        <v>0</v>
      </c>
      <c r="P657" s="90">
        <f t="shared" si="273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 hidden="1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5">L659+L660</f>
        <v>0</v>
      </c>
      <c r="M658" s="495">
        <f t="shared" si="275"/>
        <v>0</v>
      </c>
      <c r="N658" s="495">
        <f t="shared" si="275"/>
        <v>0</v>
      </c>
      <c r="O658" s="495">
        <f t="shared" ca="1" si="272"/>
        <v>0</v>
      </c>
      <c r="P658" s="495">
        <f t="shared" si="273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2"/>
        <v>0</v>
      </c>
      <c r="P659" s="90">
        <f t="shared" si="273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IFERROR(__xludf.DUMMYFUNCTION("IMPORTRANGE(""https://docs.google.com/spreadsheets/d/1QqKyyYR6Q21VydFLVH3TRQUabQu_ym0Zz7PgGX0-kHA/edit?usp=sharing"",""แผน!HV60"")"),0)</f>
        <v>0</v>
      </c>
      <c r="M660" s="90">
        <v>0</v>
      </c>
      <c r="N660" s="90">
        <f>N661+N662+N663+N664</f>
        <v>0</v>
      </c>
      <c r="O660" s="90">
        <f t="shared" ca="1" si="272"/>
        <v>0</v>
      </c>
      <c r="P660" s="90">
        <f t="shared" si="273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 hidden="1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 hidden="1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 hidden="1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 hidden="1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 hidden="1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6">L666+L667</f>
        <v>0</v>
      </c>
      <c r="M665" s="495">
        <f t="shared" si="276"/>
        <v>0</v>
      </c>
      <c r="N665" s="495">
        <f t="shared" si="276"/>
        <v>0</v>
      </c>
      <c r="O665" s="495">
        <f t="shared" ref="O665:O667" si="277">IF(L665&gt;0,N665*100/L665,0)</f>
        <v>0</v>
      </c>
      <c r="P665" s="495">
        <f t="shared" ref="P665:P667" si="278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7"/>
        <v>0</v>
      </c>
      <c r="P666" s="90">
        <f t="shared" si="278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7"/>
        <v>0</v>
      </c>
      <c r="P667" s="90">
        <f t="shared" si="278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 hidden="1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 hidden="1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IFERROR(__xludf.DUMMYFUNCTION("IMPORTRANGE(""https://docs.google.com/spreadsheets/d/1QqKyyYR6Q21VydFLVH3TRQUabQu_ym0Zz7PgGX0-kHA/edit?usp=sharing"",""แผน!IA60"")"),0)</f>
        <v>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 hidden="1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IFERROR(__xludf.DUMMYFUNCTION("IMPORTRANGE(""https://docs.google.com/spreadsheets/d/1QqKyyYR6Q21VydFLVH3TRQUabQu_ym0Zz7PgGX0-kHA/edit?usp=sharing"",""แผน!HZ60"")"),0)</f>
        <v>0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 hidden="1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IFERROR(__xludf.DUMMYFUNCTION("IMPORTRANGE(""https://docs.google.com/spreadsheets/d/1QqKyyYR6Q21VydFLVH3TRQUabQu_ym0Zz7PgGX0-kHA/edit?usp=sharing"",""แผน!HZ60"")"),0)</f>
        <v>0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 hidden="1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79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 hidden="1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79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 hidden="1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79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 hidden="1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79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 hidden="1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 hidden="1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 hidden="1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IFERROR(__xludf.DUMMYFUNCTION("IMPORTRANGE(""https://docs.google.com/spreadsheets/d/1QqKyyYR6Q21VydFLVH3TRQUabQu_ym0Zz7PgGX0-kHA/edit?usp=sharing"",""แผน!IB60"")"),0)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 hidden="1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 hidden="1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 hidden="1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 hidden="1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 hidden="1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0">L686+L687</f>
        <v>4380</v>
      </c>
      <c r="M685" s="191">
        <f t="shared" si="280"/>
        <v>0</v>
      </c>
      <c r="N685" s="191">
        <f t="shared" si="280"/>
        <v>0</v>
      </c>
      <c r="O685" s="191">
        <f t="shared" ref="O685:O688" ca="1" si="281">IF(L685&gt;0,N685*100/L685,0)</f>
        <v>0</v>
      </c>
      <c r="P685" s="191">
        <f t="shared" ref="P685:P688" si="282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3">L689+L696</f>
        <v>0</v>
      </c>
      <c r="M686" s="90">
        <f t="shared" si="283"/>
        <v>0</v>
      </c>
      <c r="N686" s="90">
        <f t="shared" si="283"/>
        <v>0</v>
      </c>
      <c r="O686" s="90">
        <f t="shared" si="281"/>
        <v>0</v>
      </c>
      <c r="P686" s="90">
        <f t="shared" si="282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3"/>
        <v>4380</v>
      </c>
      <c r="M687" s="90">
        <f t="shared" si="283"/>
        <v>0</v>
      </c>
      <c r="N687" s="90">
        <f t="shared" si="283"/>
        <v>0</v>
      </c>
      <c r="O687" s="90">
        <f t="shared" ca="1" si="281"/>
        <v>0</v>
      </c>
      <c r="P687" s="90">
        <f t="shared" si="282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4">L689+L690</f>
        <v>4380</v>
      </c>
      <c r="M688" s="495">
        <f t="shared" si="284"/>
        <v>0</v>
      </c>
      <c r="N688" s="495">
        <f t="shared" si="284"/>
        <v>0</v>
      </c>
      <c r="O688" s="495">
        <f t="shared" ca="1" si="281"/>
        <v>0</v>
      </c>
      <c r="P688" s="495">
        <f t="shared" si="282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IFERROR(__xludf.DUMMYFUNCTION("IMPORTRANGE(""https://docs.google.com/spreadsheets/d/1QqKyyYR6Q21VydFLVH3TRQUabQu_ym0Zz7PgGX0-kHA/edit?usp=sharing"",""แผน!HW60"")"),4380)</f>
        <v>4380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5">L696+L697</f>
        <v>0</v>
      </c>
      <c r="M695" s="495">
        <f t="shared" si="285"/>
        <v>0</v>
      </c>
      <c r="N695" s="495">
        <f t="shared" si="285"/>
        <v>0</v>
      </c>
      <c r="O695" s="495">
        <f t="shared" ref="O695:O697" si="286">IF(L695&gt;0,N695*100/L695,0)</f>
        <v>0</v>
      </c>
      <c r="P695" s="495">
        <f t="shared" ref="P695:P697" si="287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6"/>
        <v>0</v>
      </c>
      <c r="P696" s="90">
        <f t="shared" si="287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6"/>
        <v>0</v>
      </c>
      <c r="P697" s="90">
        <f t="shared" si="287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IFERROR(__xludf.DUMMYFUNCTION("IMPORTRANGE(""https://docs.google.com/spreadsheets/d/1QqKyyYR6Q21VydFLVH3TRQUabQu_ym0Zz7PgGX0-kHA/edit?usp=sharing"",""แผน!IC60"")"),0)</f>
        <v>0</v>
      </c>
      <c r="J699" s="264">
        <f ca="1">IFERROR(__xludf.DUMMYFUNCTION("IMPORTRANGE(""https://docs.google.com/spreadsheets/d/1XWAQStnk-4SwqDmLtmXYiTMKHgktTP8We1SCoS47DrQ/edit?usp=sharing"",""จัดที่ดิน!BB60"")"),0)</f>
        <v>0</v>
      </c>
      <c r="K699" s="495">
        <f t="shared" ref="K699:K701" ca="1" si="288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IFERROR(__xludf.DUMMYFUNCTION("IMPORTRANGE(""https://docs.google.com/spreadsheets/d/1QqKyyYR6Q21VydFLVH3TRQUabQu_ym0Zz7PgGX0-kHA/edit?usp=sharing"",""แผน!ID60"")"),0)</f>
        <v>0</v>
      </c>
      <c r="J700" s="264">
        <f ca="1">IFERROR(__xludf.DUMMYFUNCTION("IMPORTRANGE(""https://docs.google.com/spreadsheets/d/1XWAQStnk-4SwqDmLtmXYiTMKHgktTP8We1SCoS47DrQ/edit?usp=sharing"",""จัดที่ดิน!BD60"")"),0)</f>
        <v>0</v>
      </c>
      <c r="K700" s="495">
        <f t="shared" ca="1" si="288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IFERROR(__xludf.DUMMYFUNCTION("IMPORTRANGE(""https://docs.google.com/spreadsheets/d/1QqKyyYR6Q21VydFLVH3TRQUabQu_ym0Zz7PgGX0-kHA/edit?usp=sharing"",""แผน!IE60"")"),0)</f>
        <v>0</v>
      </c>
      <c r="J701" s="673">
        <f>J704+J707</f>
        <v>0</v>
      </c>
      <c r="K701" s="191">
        <f t="shared" ca="1" si="288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IFERROR(__xludf.DUMMYFUNCTION("IMPORTRANGE(""https://docs.google.com/spreadsheets/d/1QqKyyYR6Q21VydFLVH3TRQUabQu_ym0Zz7PgGX0-kHA/edit?usp=sharing"",""แผน!IF60"")"),0)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IFERROR(__xludf.DUMMYFUNCTION("IMPORTRANGE(""https://docs.google.com/spreadsheets/d/1QqKyyYR6Q21VydFLVH3TRQUabQu_ym0Zz7PgGX0-kHA/edit?usp=sharing"",""แผน!IG60"")"),0)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IFERROR(__xludf.DUMMYFUNCTION("IMPORTRANGE(""https://docs.google.com/spreadsheets/d/1QqKyyYR6Q21VydFLVH3TRQUabQu_ym0Zz7PgGX0-kHA/edit?usp=sharing"",""แผน!IH60"")"),0)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/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IFERROR(__xludf.DUMMYFUNCTION("IMPORTRANGE(""https://docs.google.com/spreadsheets/d/1XWAQStnk-4SwqDmLtmXYiTMKHgktTP8We1SCoS47DrQ/edit?usp=sharing"",""จัดที่ดิน!BF60"")"),0)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IFERROR(__xludf.DUMMYFUNCTION("IMPORTRANGE(""https://docs.google.com/spreadsheets/d/1XWAQStnk-4SwqDmLtmXYiTMKHgktTP8We1SCoS47DrQ/edit?usp=sharing"",""จัดที่ดิน!BG60"")"),0)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IFERROR(__xludf.DUMMYFUNCTION("IMPORTRANGE(""https://docs.google.com/spreadsheets/d/1QqKyyYR6Q21VydFLVH3TRQUabQu_ym0Zz7PgGX0-kHA/edit?usp=sharing"",""แผน!II60"")"),34)</f>
        <v>34</v>
      </c>
      <c r="J720" s="264">
        <f ca="1">IFERROR(__xludf.DUMMYFUNCTION("IMPORTRANGE(""https://docs.google.com/spreadsheets/d/1XWAQStnk-4SwqDmLtmXYiTMKHgktTP8We1SCoS47DrQ/edit?usp=sharing"",""จัดที่ดิน!BH60"")"),0)</f>
        <v>0</v>
      </c>
      <c r="K720" s="495">
        <f t="shared" ref="K720:K723" ca="1" si="289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IFERROR(__xludf.DUMMYFUNCTION("IMPORTRANGE(""https://docs.google.com/spreadsheets/d/1QqKyyYR6Q21VydFLVH3TRQUabQu_ym0Zz7PgGX0-kHA/edit?usp=sharing"",""แผน!IJ60"")"),3)</f>
        <v>3</v>
      </c>
      <c r="J721" s="673">
        <f ca="1">J723+J726</f>
        <v>0</v>
      </c>
      <c r="K721" s="191">
        <f t="shared" ca="1" si="289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IFERROR(__xludf.DUMMYFUNCTION("IMPORTRANGE(""https://docs.google.com/spreadsheets/d/1QqKyyYR6Q21VydFLVH3TRQUabQu_ym0Zz7PgGX0-kHA/edit?usp=sharing"",""แผน!IK60"")"),40)</f>
        <v>40</v>
      </c>
      <c r="J722" s="673">
        <f ca="1">J725+J728</f>
        <v>0</v>
      </c>
      <c r="K722" s="191">
        <f t="shared" ca="1" si="289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IFERROR(__xludf.DUMMYFUNCTION("IMPORTRANGE(""https://docs.google.com/spreadsheets/d/1QqKyyYR6Q21VydFLVH3TRQUabQu_ym0Zz7PgGX0-kHA/edit?usp=sharing"",""แผน!IL60"")"),2)</f>
        <v>2</v>
      </c>
      <c r="J723" s="264">
        <f ca="1">IFERROR(__xludf.DUMMYFUNCTION("IMPORTRANGE(""https://docs.google.com/spreadsheets/d/1XWAQStnk-4SwqDmLtmXYiTMKHgktTP8We1SCoS47DrQ/edit?usp=sharing"",""จัดที่ดิน!BM60"")"),0)</f>
        <v>0</v>
      </c>
      <c r="K723" s="495">
        <f t="shared" ca="1" si="289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IFERROR(__xludf.DUMMYFUNCTION("IMPORTRANGE(""https://docs.google.com/spreadsheets/d/1XWAQStnk-4SwqDmLtmXYiTMKHgktTP8We1SCoS47DrQ/edit?usp=sharing"",""จัดที่ดิน!BN60"")"),0)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IFERROR(__xludf.DUMMYFUNCTION("IMPORTRANGE(""https://docs.google.com/spreadsheets/d/1QqKyyYR6Q21VydFLVH3TRQUabQu_ym0Zz7PgGX0-kHA/edit?usp=sharing"",""แผน!IM60"")"),20)</f>
        <v>20</v>
      </c>
      <c r="J725" s="264">
        <f ca="1">IFERROR(__xludf.DUMMYFUNCTION("IMPORTRANGE(""https://docs.google.com/spreadsheets/d/1XWAQStnk-4SwqDmLtmXYiTMKHgktTP8We1SCoS47DrQ/edit?usp=sharing"",""จัดที่ดิน!BO60"")"),0)</f>
        <v>0</v>
      </c>
      <c r="K725" s="495">
        <f t="shared" ref="K725:K726" ca="1" si="290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IFERROR(__xludf.DUMMYFUNCTION("IMPORTRANGE(""https://docs.google.com/spreadsheets/d/1QqKyyYR6Q21VydFLVH3TRQUabQu_ym0Zz7PgGX0-kHA/edit?usp=sharing"",""แผน!IN60"")"),1)</f>
        <v>1</v>
      </c>
      <c r="J726" s="264">
        <f ca="1">IFERROR(__xludf.DUMMYFUNCTION("IMPORTRANGE(""https://docs.google.com/spreadsheets/d/1XWAQStnk-4SwqDmLtmXYiTMKHgktTP8We1SCoS47DrQ/edit?usp=sharing"",""จัดที่ดิน!BR60"")"),0)</f>
        <v>0</v>
      </c>
      <c r="K726" s="495">
        <f t="shared" ca="1" si="290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IFERROR(__xludf.DUMMYFUNCTION("IMPORTRANGE(""https://docs.google.com/spreadsheets/d/1XWAQStnk-4SwqDmLtmXYiTMKHgktTP8We1SCoS47DrQ/edit?usp=sharing"",""จัดที่ดิน!BS60"")"),0)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IFERROR(__xludf.DUMMYFUNCTION("IMPORTRANGE(""https://docs.google.com/spreadsheets/d/1QqKyyYR6Q21VydFLVH3TRQUabQu_ym0Zz7PgGX0-kHA/edit?usp=sharing"",""แผน!IO60"")"),20)</f>
        <v>20</v>
      </c>
      <c r="J728" s="264">
        <f ca="1">IFERROR(__xludf.DUMMYFUNCTION("IMPORTRANGE(""https://docs.google.com/spreadsheets/d/1XWAQStnk-4SwqDmLtmXYiTMKHgktTP8We1SCoS47DrQ/edit?usp=sharing"",""จัดที่ดิน!BT60"")"),0)</f>
        <v>0</v>
      </c>
      <c r="K728" s="495">
        <f t="shared" ref="K728:K729" ca="1" si="291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IFERROR(__xludf.DUMMYFUNCTION("IMPORTRANGE(""https://docs.google.com/spreadsheets/d/1QqKyyYR6Q21VydFLVH3TRQUabQu_ym0Zz7PgGX0-kHA/edit?usp=sharing"",""แผน!IP60"")"),0)</f>
        <v>0</v>
      </c>
      <c r="J729" s="673">
        <f>J732+J735</f>
        <v>0</v>
      </c>
      <c r="K729" s="191">
        <f t="shared" ca="1" si="291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/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2">L738+L739</f>
        <v>0</v>
      </c>
      <c r="M737" s="639">
        <f t="shared" si="292"/>
        <v>0</v>
      </c>
      <c r="N737" s="639">
        <f t="shared" si="292"/>
        <v>0</v>
      </c>
      <c r="O737" s="639">
        <f t="shared" ref="O737:O742" si="293">IF(L737&gt;0,N737*100/L737,0)</f>
        <v>0</v>
      </c>
      <c r="P737" s="639">
        <f t="shared" ref="P737:P742" si="294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5">L741+L748</f>
        <v>0</v>
      </c>
      <c r="M738" s="90">
        <f t="shared" si="295"/>
        <v>0</v>
      </c>
      <c r="N738" s="90">
        <f t="shared" si="295"/>
        <v>0</v>
      </c>
      <c r="O738" s="90">
        <f t="shared" si="293"/>
        <v>0</v>
      </c>
      <c r="P738" s="90">
        <f t="shared" si="294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5"/>
        <v>0</v>
      </c>
      <c r="M739" s="90">
        <f t="shared" si="295"/>
        <v>0</v>
      </c>
      <c r="N739" s="90">
        <f t="shared" si="295"/>
        <v>0</v>
      </c>
      <c r="O739" s="90">
        <f t="shared" si="293"/>
        <v>0</v>
      </c>
      <c r="P739" s="90">
        <f t="shared" si="294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6">L741+L742</f>
        <v>0</v>
      </c>
      <c r="M740" s="639">
        <f t="shared" si="296"/>
        <v>0</v>
      </c>
      <c r="N740" s="639">
        <f t="shared" si="296"/>
        <v>0</v>
      </c>
      <c r="O740" s="639">
        <f t="shared" si="293"/>
        <v>0</v>
      </c>
      <c r="P740" s="639">
        <f t="shared" si="294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3"/>
        <v>0</v>
      </c>
      <c r="P741" s="90">
        <f t="shared" si="294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3"/>
        <v>0</v>
      </c>
      <c r="P742" s="90">
        <f t="shared" si="294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7">L748+L749</f>
        <v>0</v>
      </c>
      <c r="M747" s="639">
        <f t="shared" si="297"/>
        <v>0</v>
      </c>
      <c r="N747" s="639">
        <f t="shared" si="297"/>
        <v>0</v>
      </c>
      <c r="O747" s="639">
        <f t="shared" ref="O747:O749" si="298">IF(L747&gt;0,N747*100/L747,0)</f>
        <v>0</v>
      </c>
      <c r="P747" s="639">
        <f t="shared" ref="P747:P749" si="299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8"/>
        <v>0</v>
      </c>
      <c r="P748" s="90">
        <f t="shared" si="299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8"/>
        <v>0</v>
      </c>
      <c r="P749" s="90">
        <f t="shared" si="299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0">L755+L756</f>
        <v>0</v>
      </c>
      <c r="M754" s="639">
        <f t="shared" si="300"/>
        <v>0</v>
      </c>
      <c r="N754" s="639">
        <f t="shared" si="300"/>
        <v>0</v>
      </c>
      <c r="O754" s="639">
        <f t="shared" ref="O754:O759" si="301">IF(L754&gt;0,N754*100/L754,0)</f>
        <v>0</v>
      </c>
      <c r="P754" s="639">
        <f t="shared" ref="P754:P759" si="302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3">L758+L765</f>
        <v>0</v>
      </c>
      <c r="M755" s="90">
        <f t="shared" si="303"/>
        <v>0</v>
      </c>
      <c r="N755" s="90">
        <f t="shared" si="303"/>
        <v>0</v>
      </c>
      <c r="O755" s="90">
        <f t="shared" si="301"/>
        <v>0</v>
      </c>
      <c r="P755" s="90">
        <f t="shared" si="302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3"/>
        <v>0</v>
      </c>
      <c r="M756" s="90">
        <f t="shared" si="303"/>
        <v>0</v>
      </c>
      <c r="N756" s="90">
        <f t="shared" si="303"/>
        <v>0</v>
      </c>
      <c r="O756" s="90">
        <f t="shared" si="301"/>
        <v>0</v>
      </c>
      <c r="P756" s="90">
        <f t="shared" si="302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4">L758+L759</f>
        <v>0</v>
      </c>
      <c r="M757" s="639">
        <f t="shared" si="304"/>
        <v>0</v>
      </c>
      <c r="N757" s="639">
        <f t="shared" si="304"/>
        <v>0</v>
      </c>
      <c r="O757" s="639">
        <f t="shared" si="301"/>
        <v>0</v>
      </c>
      <c r="P757" s="639">
        <f t="shared" si="302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1"/>
        <v>0</v>
      </c>
      <c r="P758" s="90">
        <f t="shared" si="302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1"/>
        <v>0</v>
      </c>
      <c r="P759" s="90">
        <f t="shared" si="302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5">L765+L766</f>
        <v>0</v>
      </c>
      <c r="M764" s="639">
        <f t="shared" si="305"/>
        <v>0</v>
      </c>
      <c r="N764" s="639">
        <f t="shared" si="305"/>
        <v>0</v>
      </c>
      <c r="O764" s="639">
        <f t="shared" ref="O764:O766" si="306">IF(L764&gt;0,N764*100/L764,0)</f>
        <v>0</v>
      </c>
      <c r="P764" s="639">
        <f t="shared" ref="P764:P766" si="307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6"/>
        <v>0</v>
      </c>
      <c r="P765" s="90">
        <f t="shared" si="307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6"/>
        <v>0</v>
      </c>
      <c r="P766" s="90">
        <f t="shared" si="307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8">L771+L772</f>
        <v>0</v>
      </c>
      <c r="M770" s="639">
        <f t="shared" si="308"/>
        <v>0</v>
      </c>
      <c r="N770" s="639">
        <f t="shared" si="308"/>
        <v>0</v>
      </c>
      <c r="O770" s="639">
        <f t="shared" ref="O770:O775" si="309">IF(L770&gt;0,N770*100/L770,0)</f>
        <v>0</v>
      </c>
      <c r="P770" s="639">
        <f t="shared" ref="P770:P775" si="310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1">L774+L781</f>
        <v>0</v>
      </c>
      <c r="M771" s="90">
        <f t="shared" si="311"/>
        <v>0</v>
      </c>
      <c r="N771" s="90">
        <f t="shared" si="311"/>
        <v>0</v>
      </c>
      <c r="O771" s="90">
        <f t="shared" si="309"/>
        <v>0</v>
      </c>
      <c r="P771" s="90">
        <f t="shared" si="310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1"/>
        <v>0</v>
      </c>
      <c r="M772" s="90">
        <f t="shared" si="311"/>
        <v>0</v>
      </c>
      <c r="N772" s="90">
        <f t="shared" si="311"/>
        <v>0</v>
      </c>
      <c r="O772" s="90">
        <f t="shared" si="309"/>
        <v>0</v>
      </c>
      <c r="P772" s="90">
        <f t="shared" si="310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2">L774+L775</f>
        <v>0</v>
      </c>
      <c r="M773" s="639">
        <f t="shared" si="312"/>
        <v>0</v>
      </c>
      <c r="N773" s="639">
        <f t="shared" si="312"/>
        <v>0</v>
      </c>
      <c r="O773" s="639">
        <f t="shared" si="309"/>
        <v>0</v>
      </c>
      <c r="P773" s="639">
        <f t="shared" si="310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09"/>
        <v>0</v>
      </c>
      <c r="P774" s="90">
        <f t="shared" si="310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09"/>
        <v>0</v>
      </c>
      <c r="P775" s="90">
        <f t="shared" si="310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3">L781+L782</f>
        <v>0</v>
      </c>
      <c r="M780" s="639">
        <f t="shared" si="313"/>
        <v>0</v>
      </c>
      <c r="N780" s="639">
        <f t="shared" si="313"/>
        <v>0</v>
      </c>
      <c r="O780" s="639">
        <f t="shared" ref="O780:O782" si="314">IF(L780&gt;0,N780*100/L780,0)</f>
        <v>0</v>
      </c>
      <c r="P780" s="639">
        <f t="shared" ref="P780:P782" si="315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4"/>
        <v>0</v>
      </c>
      <c r="P781" s="90">
        <f t="shared" si="315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4"/>
        <v>0</v>
      </c>
      <c r="P782" s="90">
        <f t="shared" si="315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6">I800</f>
        <v>0</v>
      </c>
      <c r="J785" s="798">
        <f t="shared" ca="1" si="316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7">L787+L788</f>
        <v>0</v>
      </c>
      <c r="M786" s="191">
        <f t="shared" si="317"/>
        <v>0</v>
      </c>
      <c r="N786" s="191">
        <f t="shared" si="317"/>
        <v>0</v>
      </c>
      <c r="O786" s="191">
        <f t="shared" ref="O786:O791" ca="1" si="318">IF(L786&gt;0,N786*100/L786,0)</f>
        <v>0</v>
      </c>
      <c r="P786" s="191">
        <f t="shared" ref="P786:P791" si="319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0">L790+L797</f>
        <v>0</v>
      </c>
      <c r="M787" s="90">
        <f t="shared" si="320"/>
        <v>0</v>
      </c>
      <c r="N787" s="90">
        <f t="shared" si="320"/>
        <v>0</v>
      </c>
      <c r="O787" s="90">
        <f t="shared" si="318"/>
        <v>0</v>
      </c>
      <c r="P787" s="90">
        <f t="shared" si="319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0"/>
        <v>0</v>
      </c>
      <c r="M788" s="90">
        <f t="shared" si="320"/>
        <v>0</v>
      </c>
      <c r="N788" s="90">
        <f t="shared" si="320"/>
        <v>0</v>
      </c>
      <c r="O788" s="90">
        <f t="shared" ca="1" si="318"/>
        <v>0</v>
      </c>
      <c r="P788" s="90">
        <f t="shared" si="319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1">L790+L791</f>
        <v>0</v>
      </c>
      <c r="M789" s="495">
        <f t="shared" si="321"/>
        <v>0</v>
      </c>
      <c r="N789" s="495">
        <f t="shared" si="321"/>
        <v>0</v>
      </c>
      <c r="O789" s="495">
        <f t="shared" ca="1" si="318"/>
        <v>0</v>
      </c>
      <c r="P789" s="495">
        <f t="shared" si="319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8"/>
        <v>0</v>
      </c>
      <c r="P790" s="90">
        <f t="shared" si="319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IFERROR(__xludf.DUMMYFUNCTION("IMPORTRANGE(""https://docs.google.com/spreadsheets/d/1QqKyyYR6Q21VydFLVH3TRQUabQu_ym0Zz7PgGX0-kHA/edit?usp=sharing"",""แผน!JJ60"")"),0)</f>
        <v>0</v>
      </c>
      <c r="M791" s="90">
        <v>0</v>
      </c>
      <c r="N791" s="90">
        <f>N792+N793+N794+N795</f>
        <v>0</v>
      </c>
      <c r="O791" s="90">
        <f t="shared" ca="1" si="318"/>
        <v>0</v>
      </c>
      <c r="P791" s="90">
        <f t="shared" si="319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2">L797+L798</f>
        <v>0</v>
      </c>
      <c r="M796" s="495">
        <f t="shared" si="322"/>
        <v>0</v>
      </c>
      <c r="N796" s="495">
        <f t="shared" si="322"/>
        <v>0</v>
      </c>
      <c r="O796" s="495">
        <f t="shared" ref="O796:O798" si="323">IF(L796&gt;0,N796*100/L796,0)</f>
        <v>0</v>
      </c>
      <c r="P796" s="495">
        <f t="shared" ref="P796:P798" si="324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3"/>
        <v>0</v>
      </c>
      <c r="P797" s="90">
        <f t="shared" si="324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3"/>
        <v>0</v>
      </c>
      <c r="P798" s="90">
        <f t="shared" si="324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IFERROR(__xludf.DUMMYFUNCTION("IMPORTRANGE(""https://docs.google.com/spreadsheets/d/1QqKyyYR6Q21VydFLVH3TRQUabQu_ym0Zz7PgGX0-kHA/edit?usp=sharing"",""แผน!JN60"")"),0)</f>
        <v>0</v>
      </c>
      <c r="J800" s="180">
        <f ca="1">IFERROR(__xludf.DUMMYFUNCTION("IMPORTRANGE(""https://docs.google.com/spreadsheets/d/1MaWodYyGHDf7siQLGxnXhG4mBNTNIuy296niS2xXulU/edit?usp=sharing"",""RTK!H60"")"),0)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IFERROR(__xludf.DUMMYFUNCTION("IMPORTRANGE(""https://docs.google.com/spreadsheets/d/1MaWodYyGHDf7siQLGxnXhG4mBNTNIuy296niS2xXulU/edit?usp=sharing"",""RTK!I60"")"),0)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5">L806+L807</f>
        <v>0</v>
      </c>
      <c r="M805" s="639">
        <f t="shared" si="325"/>
        <v>0</v>
      </c>
      <c r="N805" s="639">
        <f t="shared" si="325"/>
        <v>0</v>
      </c>
      <c r="O805" s="639">
        <f t="shared" ref="O805:O810" si="326">IF(L805&gt;0,N805*100/L805,0)</f>
        <v>0</v>
      </c>
      <c r="P805" s="639">
        <f t="shared" ref="P805:P810" si="327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8">L809+L816</f>
        <v>0</v>
      </c>
      <c r="M806" s="90">
        <f t="shared" si="328"/>
        <v>0</v>
      </c>
      <c r="N806" s="90">
        <f t="shared" si="328"/>
        <v>0</v>
      </c>
      <c r="O806" s="90">
        <f t="shared" si="326"/>
        <v>0</v>
      </c>
      <c r="P806" s="90">
        <f t="shared" si="327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8"/>
        <v>0</v>
      </c>
      <c r="M807" s="90">
        <f t="shared" si="328"/>
        <v>0</v>
      </c>
      <c r="N807" s="90">
        <f t="shared" si="328"/>
        <v>0</v>
      </c>
      <c r="O807" s="90">
        <f t="shared" si="326"/>
        <v>0</v>
      </c>
      <c r="P807" s="90">
        <f t="shared" si="327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29">L809+L810</f>
        <v>0</v>
      </c>
      <c r="M808" s="639">
        <f t="shared" si="329"/>
        <v>0</v>
      </c>
      <c r="N808" s="639">
        <f t="shared" si="329"/>
        <v>0</v>
      </c>
      <c r="O808" s="639">
        <f t="shared" si="326"/>
        <v>0</v>
      </c>
      <c r="P808" s="639">
        <f t="shared" si="327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6"/>
        <v>0</v>
      </c>
      <c r="P809" s="90">
        <f t="shared" si="327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6"/>
        <v>0</v>
      </c>
      <c r="P810" s="90">
        <f t="shared" si="327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0">L816+L817</f>
        <v>0</v>
      </c>
      <c r="M815" s="639">
        <f t="shared" si="330"/>
        <v>0</v>
      </c>
      <c r="N815" s="639">
        <f t="shared" si="330"/>
        <v>0</v>
      </c>
      <c r="O815" s="639">
        <f t="shared" ref="O815:O817" si="331">IF(L815&gt;0,N815*100/L815,0)</f>
        <v>0</v>
      </c>
      <c r="P815" s="639">
        <f t="shared" ref="P815:P817" si="332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1"/>
        <v>0</v>
      </c>
      <c r="P816" s="90">
        <f t="shared" si="332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1"/>
        <v>0</v>
      </c>
      <c r="P817" s="90">
        <f t="shared" si="332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264">
        <f ca="1">IFERROR(__xludf.DUMMYFUNCTION("IMPORTRANGE(""https://docs.google.com/spreadsheets/d/19vJNZY_5yjcGF2XGBMNZRCAIB0Kwfpjp8YEOfu-bneM/edit?usp=sharing"",""งานกองทุน!F60"")"),14906.17)</f>
        <v>14906.17</v>
      </c>
      <c r="K821" s="495">
        <f t="shared" ref="K821:K828" ca="1" si="333">IF(I821&gt;0,J821*100/I821,0)</f>
        <v>0.50437986453410055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IFERROR(__xludf.DUMMYFUNCTION("IMPORTRANGE(""https://docs.google.com/spreadsheets/d/19vJNZY_5yjcGF2XGBMNZRCAIB0Kwfpjp8YEOfu-bneM/edit?usp=sharing"",""งานกองทุน!C60"")"),67)</f>
        <v>67</v>
      </c>
      <c r="J822" s="264">
        <f ca="1">IFERROR(__xludf.DUMMYFUNCTION("IMPORTRANGE(""https://docs.google.com/spreadsheets/d/19vJNZY_5yjcGF2XGBMNZRCAIB0Kwfpjp8YEOfu-bneM/edit?usp=sharing"",""งานกองทุน!E60"")"),9)</f>
        <v>9</v>
      </c>
      <c r="K822" s="495">
        <f t="shared" ca="1" si="333"/>
        <v>13.432835820895523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264">
        <f ca="1">IFERROR(__xludf.DUMMYFUNCTION("IMPORTRANGE(""https://docs.google.com/spreadsheets/d/19vJNZY_5yjcGF2XGBMNZRCAIB0Kwfpjp8YEOfu-bneM/edit?usp=sharing"",""งานกองทุน!K60"")"),25281.82)</f>
        <v>25281.82</v>
      </c>
      <c r="K823" s="495">
        <f t="shared" ca="1" si="333"/>
        <v>4.9575727619969481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IFERROR(__xludf.DUMMYFUNCTION("IMPORTRANGE(""https://docs.google.com/spreadsheets/d/19vJNZY_5yjcGF2XGBMNZRCAIB0Kwfpjp8YEOfu-bneM/edit?usp=sharing"",""งานกองทุน!H60"")"),22)</f>
        <v>22</v>
      </c>
      <c r="J824" s="264">
        <f ca="1">IFERROR(__xludf.DUMMYFUNCTION("IMPORTRANGE(""https://docs.google.com/spreadsheets/d/19vJNZY_5yjcGF2XGBMNZRCAIB0Kwfpjp8YEOfu-bneM/edit?usp=sharing"",""งานกองทุน!J60"")"),16)</f>
        <v>16</v>
      </c>
      <c r="K824" s="495">
        <f t="shared" ca="1" si="333"/>
        <v>72.727272727272734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IFERROR(__xludf.DUMMYFUNCTION("IMPORTRANGE(""https://docs.google.com/spreadsheets/d/19vJNZY_5yjcGF2XGBMNZRCAIB0Kwfpjp8YEOfu-bneM/edit?usp=sharing"",""งานกองทุน!N60"")"),461906.75)</f>
        <v>461906.75</v>
      </c>
      <c r="J825" s="264">
        <f ca="1">IFERROR(__xludf.DUMMYFUNCTION("IMPORTRANGE(""https://docs.google.com/spreadsheets/d/19vJNZY_5yjcGF2XGBMNZRCAIB0Kwfpjp8YEOfu-bneM/edit?usp=sharing"",""งานกองทุน!P60"")"),0)</f>
        <v>0</v>
      </c>
      <c r="K825" s="495">
        <f t="shared" ca="1" si="333"/>
        <v>0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IFERROR(__xludf.DUMMYFUNCTION("IMPORTRANGE(""https://docs.google.com/spreadsheets/d/19vJNZY_5yjcGF2XGBMNZRCAIB0Kwfpjp8YEOfu-bneM/edit?usp=sharing"",""งานกองทุน!M60"")"),258)</f>
        <v>258</v>
      </c>
      <c r="J826" s="264">
        <f ca="1">IFERROR(__xludf.DUMMYFUNCTION("IMPORTRANGE(""https://docs.google.com/spreadsheets/d/19vJNZY_5yjcGF2XGBMNZRCAIB0Kwfpjp8YEOfu-bneM/edit?usp=sharing"",""งานกองทุน!O60"")"),0)</f>
        <v>0</v>
      </c>
      <c r="K826" s="495">
        <f t="shared" ca="1" si="333"/>
        <v>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IFERROR(__xludf.DUMMYFUNCTION("IMPORTRANGE(""https://docs.google.com/spreadsheets/d/19vJNZY_5yjcGF2XGBMNZRCAIB0Kwfpjp8YEOfu-bneM/edit?usp=sharing"",""งานกองทุน!S60"")"),3060000)</f>
        <v>3060000</v>
      </c>
      <c r="J827" s="264">
        <f ca="1">IFERROR(__xludf.DUMMYFUNCTION("IMPORTRANGE(""https://docs.google.com/spreadsheets/d/19vJNZY_5yjcGF2XGBMNZRCAIB0Kwfpjp8YEOfu-bneM/edit?usp=sharing"",""งานกองทุน!U60"")"),0)</f>
        <v>0</v>
      </c>
      <c r="K827" s="495">
        <f t="shared" ca="1" si="333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IFERROR(__xludf.DUMMYFUNCTION("IMPORTRANGE(""https://docs.google.com/spreadsheets/d/19vJNZY_5yjcGF2XGBMNZRCAIB0Kwfpjp8YEOfu-bneM/edit?usp=sharing"",""งานกองทุน!R60"")"),99)</f>
        <v>99</v>
      </c>
      <c r="J828" s="498">
        <f ca="1">IFERROR(__xludf.DUMMYFUNCTION("IMPORTRANGE(""https://docs.google.com/spreadsheets/d/19vJNZY_5yjcGF2XGBMNZRCAIB0Kwfpjp8YEOfu-bneM/edit?usp=sharing"",""งานกองทุน!T60"")"),45)</f>
        <v>45</v>
      </c>
      <c r="K828" s="499">
        <f t="shared" ca="1" si="333"/>
        <v>45.454545454545453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DA01-64E4-4BCC-8F05-6F36FA2FF464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345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3101840</v>
      </c>
      <c r="M8" s="21">
        <f t="shared" ca="1" si="0"/>
        <v>1412180</v>
      </c>
      <c r="N8" s="21">
        <f t="shared" ca="1" si="0"/>
        <v>684126.53999999992</v>
      </c>
      <c r="O8" s="21">
        <f t="shared" ref="O8:O16" ca="1" si="1">IF(L8&gt;0,N8*100/L8,0)</f>
        <v>22.055507053877694</v>
      </c>
      <c r="P8" s="21">
        <f t="shared" ref="P8:P16" ca="1" si="2">IF(M8&gt;0,N8*100/M8,0)</f>
        <v>48.444712430426705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3101840</v>
      </c>
      <c r="M10" s="29">
        <f t="shared" ca="1" si="3"/>
        <v>1412180</v>
      </c>
      <c r="N10" s="29">
        <f t="shared" ca="1" si="3"/>
        <v>684126.53999999992</v>
      </c>
      <c r="O10" s="29">
        <f t="shared" ca="1" si="1"/>
        <v>22.055507053877694</v>
      </c>
      <c r="P10" s="29">
        <f t="shared" ca="1" si="2"/>
        <v>48.444712430426705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2988040</v>
      </c>
      <c r="M11" s="495">
        <f t="shared" ca="1" si="4"/>
        <v>1298380</v>
      </c>
      <c r="N11" s="495">
        <f t="shared" ca="1" si="4"/>
        <v>570326.53999999992</v>
      </c>
      <c r="O11" s="495">
        <f t="shared" ca="1" si="1"/>
        <v>19.086978085969395</v>
      </c>
      <c r="P11" s="495">
        <f t="shared" ca="1" si="2"/>
        <v>43.926010875090491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2988040</v>
      </c>
      <c r="M13" s="90">
        <f t="shared" ca="1" si="5"/>
        <v>1298380</v>
      </c>
      <c r="N13" s="90">
        <f t="shared" ca="1" si="5"/>
        <v>570326.53999999992</v>
      </c>
      <c r="O13" s="90">
        <f t="shared" ca="1" si="1"/>
        <v>19.086978085969395</v>
      </c>
      <c r="P13" s="90">
        <f t="shared" ca="1" si="2"/>
        <v>43.926010875090491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113800</v>
      </c>
      <c r="M14" s="495">
        <f t="shared" ca="1" si="6"/>
        <v>113800</v>
      </c>
      <c r="N14" s="495">
        <f t="shared" ca="1" si="6"/>
        <v>113800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113800</v>
      </c>
      <c r="M16" s="51">
        <f t="shared" ca="1" si="7"/>
        <v>113800</v>
      </c>
      <c r="N16" s="51">
        <f t="shared" ca="1" si="7"/>
        <v>113800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2819170</v>
      </c>
      <c r="M18" s="21">
        <f t="shared" ca="1" si="8"/>
        <v>1412180</v>
      </c>
      <c r="N18" s="21">
        <f t="shared" ca="1" si="8"/>
        <v>684126.53999999992</v>
      </c>
      <c r="O18" s="21">
        <f t="shared" ref="O18:O26" ca="1" si="9">IF(L18&gt;0,N18*100/L18,0)</f>
        <v>24.266948782797769</v>
      </c>
      <c r="P18" s="21">
        <f t="shared" ref="P18:P26" ca="1" si="10">IF(M18&gt;0,N18*100/M18,0)</f>
        <v>48.444712430426705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2819170</v>
      </c>
      <c r="M20" s="29">
        <f t="shared" ca="1" si="11"/>
        <v>1412180</v>
      </c>
      <c r="N20" s="29">
        <f t="shared" ca="1" si="11"/>
        <v>684126.53999999992</v>
      </c>
      <c r="O20" s="29">
        <f t="shared" ca="1" si="9"/>
        <v>24.266948782797769</v>
      </c>
      <c r="P20" s="29">
        <f t="shared" ca="1" si="10"/>
        <v>48.444712430426705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2705370</v>
      </c>
      <c r="M21" s="495">
        <f t="shared" ca="1" si="12"/>
        <v>1298380</v>
      </c>
      <c r="N21" s="495">
        <f t="shared" ca="1" si="12"/>
        <v>570326.53999999992</v>
      </c>
      <c r="O21" s="495">
        <f t="shared" ca="1" si="9"/>
        <v>21.081276867859106</v>
      </c>
      <c r="P21" s="495">
        <f t="shared" ca="1" si="10"/>
        <v>43.926010875090491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2705370</v>
      </c>
      <c r="M23" s="90">
        <f t="shared" ca="1" si="13"/>
        <v>1298380</v>
      </c>
      <c r="N23" s="90">
        <f t="shared" ca="1" si="13"/>
        <v>570326.53999999992</v>
      </c>
      <c r="O23" s="90">
        <f t="shared" ca="1" si="9"/>
        <v>21.081276867859106</v>
      </c>
      <c r="P23" s="90">
        <f t="shared" ca="1" si="10"/>
        <v>43.926010875090491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113800</v>
      </c>
      <c r="M24" s="495">
        <f t="shared" ca="1" si="14"/>
        <v>113800</v>
      </c>
      <c r="N24" s="495">
        <f t="shared" ca="1" si="14"/>
        <v>113800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113800</v>
      </c>
      <c r="M26" s="51">
        <f t="shared" ca="1" si="15"/>
        <v>113800</v>
      </c>
      <c r="N26" s="51">
        <f t="shared" ca="1" si="15"/>
        <v>113800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282670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282670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282670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282670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2819170</v>
      </c>
      <c r="M37" s="57">
        <f t="shared" ca="1" si="24"/>
        <v>1412180</v>
      </c>
      <c r="N37" s="57">
        <f t="shared" ca="1" si="24"/>
        <v>684126.53999999992</v>
      </c>
      <c r="O37" s="57">
        <f t="shared" ca="1" si="17"/>
        <v>24.266948782797769</v>
      </c>
      <c r="P37" s="57">
        <f t="shared" ca="1" si="18"/>
        <v>48.444712430426705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457800</v>
      </c>
      <c r="M41" s="82">
        <f t="shared" ca="1" si="25"/>
        <v>230250</v>
      </c>
      <c r="N41" s="82">
        <f t="shared" ca="1" si="25"/>
        <v>138532.67000000001</v>
      </c>
      <c r="O41" s="82">
        <f t="shared" ref="O41:O49" ca="1" si="26">IF(L41&gt;0,N41*100/L41,0)</f>
        <v>30.260522062035829</v>
      </c>
      <c r="P41" s="82">
        <f t="shared" ref="P41:P49" ca="1" si="27">IF(M41&gt;0,N41*100/M41,0)</f>
        <v>60.166197611292084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457800</v>
      </c>
      <c r="M43" s="89">
        <f t="shared" ca="1" si="28"/>
        <v>230250</v>
      </c>
      <c r="N43" s="89">
        <f t="shared" ca="1" si="28"/>
        <v>138532.67000000001</v>
      </c>
      <c r="O43" s="89">
        <f t="shared" ca="1" si="26"/>
        <v>30.260522062035829</v>
      </c>
      <c r="P43" s="89">
        <f t="shared" ca="1" si="27"/>
        <v>60.166197611292084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457800</v>
      </c>
      <c r="M44" s="495">
        <f t="shared" ca="1" si="29"/>
        <v>230250</v>
      </c>
      <c r="N44" s="495">
        <f t="shared" ca="1" si="29"/>
        <v>138532.67000000001</v>
      </c>
      <c r="O44" s="495">
        <f t="shared" ca="1" si="26"/>
        <v>30.260522062035829</v>
      </c>
      <c r="P44" s="495">
        <f t="shared" ca="1" si="27"/>
        <v>60.166197611292084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IFERROR(__xludf.DUMMYFUNCTION("IMPORTRANGE(""https://docs.google.com/spreadsheets/d/1MeEWN-I1oV_STSDYn1IFDPWt_1FKiwhDph83XaGc0o0/edit?usp=sharing"",""งบพรบ!M61"")"),457800)</f>
        <v>457800</v>
      </c>
      <c r="M46" s="90">
        <f ca="1">IFERROR(__xludf.DUMMYFUNCTION("IMPORTRANGE(""https://docs.google.com/spreadsheets/d/1MeEWN-I1oV_STSDYn1IFDPWt_1FKiwhDph83XaGc0o0/edit?usp=sharing"",""งบพรบ!R61"")"),230250)</f>
        <v>230250</v>
      </c>
      <c r="N46" s="90">
        <f ca="1">IFERROR(__xludf.DUMMYFUNCTION("IMPORTRANGE(""https://docs.google.com/spreadsheets/d/1MeEWN-I1oV_STSDYn1IFDPWt_1FKiwhDph83XaGc0o0/edit?usp=sharing"",""งบพรบ!T61"")"),138532.67)</f>
        <v>138532.67000000001</v>
      </c>
      <c r="O46" s="90">
        <f t="shared" ca="1" si="26"/>
        <v>30.260522062035829</v>
      </c>
      <c r="P46" s="90">
        <f t="shared" ca="1" si="27"/>
        <v>60.166197611292084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IFERROR(__xludf.DUMMYFUNCTION("IMPORTRANGE(""https://docs.google.com/spreadsheets/d/1MeEWN-I1oV_STSDYn1IFDPWt_1FKiwhDph83XaGc0o0/edit?usp=sharing"",""งบพรบ!P61"")"),0)</f>
        <v>0</v>
      </c>
      <c r="M49" s="51">
        <f ca="1">IFERROR(__xludf.DUMMYFUNCTION("IMPORTRANGE(""https://docs.google.com/spreadsheets/d/1MeEWN-I1oV_STSDYn1IFDPWt_1FKiwhDph83XaGc0o0/edit?usp=sharing"",""งบพรบ!S61"")"),0)</f>
        <v>0</v>
      </c>
      <c r="N49" s="51">
        <f ca="1">IFERROR(__xludf.DUMMYFUNCTION("IMPORTRANGE(""https://docs.google.com/spreadsheets/d/1MeEWN-I1oV_STSDYn1IFDPWt_1FKiwhDph83XaGc0o0/edit?usp=sharing"",""งบพรบ!U61"")"),0)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663500</v>
      </c>
      <c r="M53" s="112">
        <f t="shared" ca="1" si="31"/>
        <v>331750</v>
      </c>
      <c r="N53" s="112">
        <f t="shared" ca="1" si="31"/>
        <v>222874.05</v>
      </c>
      <c r="O53" s="112">
        <f t="shared" ref="O53:O61" ca="1" si="32">IF(L53&gt;0,N53*100/L53,0)</f>
        <v>33.590663149962324</v>
      </c>
      <c r="P53" s="112">
        <f t="shared" ref="P53:P61" ca="1" si="33">IF(M53&gt;0,N53*100/M53,0)</f>
        <v>67.181326299924649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663500</v>
      </c>
      <c r="M55" s="119">
        <f t="shared" ca="1" si="34"/>
        <v>331750</v>
      </c>
      <c r="N55" s="119">
        <f t="shared" ca="1" si="34"/>
        <v>222874.05</v>
      </c>
      <c r="O55" s="119">
        <f t="shared" ca="1" si="32"/>
        <v>33.590663149962324</v>
      </c>
      <c r="P55" s="119">
        <f t="shared" ca="1" si="33"/>
        <v>67.181326299924649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663500</v>
      </c>
      <c r="M56" s="495">
        <f t="shared" ca="1" si="35"/>
        <v>331750</v>
      </c>
      <c r="N56" s="495">
        <f t="shared" ca="1" si="35"/>
        <v>222874.05</v>
      </c>
      <c r="O56" s="495">
        <f t="shared" ca="1" si="32"/>
        <v>33.590663149962324</v>
      </c>
      <c r="P56" s="495">
        <f t="shared" ca="1" si="33"/>
        <v>67.181326299924649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IFERROR(__xludf.DUMMYFUNCTION("IMPORTRANGE(""https://docs.google.com/spreadsheets/d/1MeEWN-I1oV_STSDYn1IFDPWt_1FKiwhDph83XaGc0o0/edit?usp=sharing"",""งบพรบ!W61"")"),663500)</f>
        <v>663500</v>
      </c>
      <c r="M58" s="90">
        <f ca="1">IFERROR(__xludf.DUMMYFUNCTION("IMPORTRANGE(""https://docs.google.com/spreadsheets/d/1MeEWN-I1oV_STSDYn1IFDPWt_1FKiwhDph83XaGc0o0/edit?usp=sharing"",""งบพรบ!AB61"")"),331750)</f>
        <v>331750</v>
      </c>
      <c r="N58" s="90">
        <f ca="1">IFERROR(__xludf.DUMMYFUNCTION("IMPORTRANGE(""https://docs.google.com/spreadsheets/d/1MeEWN-I1oV_STSDYn1IFDPWt_1FKiwhDph83XaGc0o0/edit?usp=sharing"",""งบพรบ!AD61"")"),222874.05)</f>
        <v>222874.05</v>
      </c>
      <c r="O58" s="90">
        <f t="shared" ca="1" si="32"/>
        <v>33.590663149962324</v>
      </c>
      <c r="P58" s="90">
        <f t="shared" ca="1" si="33"/>
        <v>67.181326299924649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IFERROR(__xludf.DUMMYFUNCTION("IMPORTRANGE(""https://docs.google.com/spreadsheets/d/1MeEWN-I1oV_STSDYn1IFDPWt_1FKiwhDph83XaGc0o0/edit?usp=sharing"",""งบพรบ!Z61"")"),0)</f>
        <v>0</v>
      </c>
      <c r="M61" s="51">
        <f ca="1">IFERROR(__xludf.DUMMYFUNCTION("IMPORTRANGE(""https://docs.google.com/spreadsheets/d/1MeEWN-I1oV_STSDYn1IFDPWt_1FKiwhDph83XaGc0o0/edit?usp=sharing"",""งบพรบ!AC61"")"),0)</f>
        <v>0</v>
      </c>
      <c r="N61" s="51">
        <f ca="1">IFERROR(__xludf.DUMMYFUNCTION("IMPORTRANGE(""https://docs.google.com/spreadsheets/d/1MeEWN-I1oV_STSDYn1IFDPWt_1FKiwhDph83XaGc0o0/edit?usp=sharing"",""งบพรบ!AE61"")"),0)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IFERROR(__xludf.DUMMYFUNCTION("IMPORTRANGE(""https://docs.google.com/spreadsheets/d/1MeEWN-I1oV_STSDYn1IFDPWt_1FKiwhDph83XaGc0o0/edit?usp=sharing"",""งบพรบ!AG61"")"),0)</f>
        <v>0</v>
      </c>
      <c r="M71" s="90">
        <f ca="1">IFERROR(__xludf.DUMMYFUNCTION("IMPORTRANGE(""https://docs.google.com/spreadsheets/d/1MeEWN-I1oV_STSDYn1IFDPWt_1FKiwhDph83XaGc0o0/edit?usp=sharing"",""งบพรบ!AL61"")"),0)</f>
        <v>0</v>
      </c>
      <c r="N71" s="90">
        <f ca="1">IFERROR(__xludf.DUMMYFUNCTION("IMPORTRANGE(""https://docs.google.com/spreadsheets/d/1MeEWN-I1oV_STSDYn1IFDPWt_1FKiwhDph83XaGc0o0/edit?usp=sharing"",""งบพรบ!AN61"")"),0)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IFERROR(__xludf.DUMMYFUNCTION("IMPORTRANGE(""https://docs.google.com/spreadsheets/d/1MeEWN-I1oV_STSDYn1IFDPWt_1FKiwhDph83XaGc0o0/edit?usp=sharing"",""งบพรบ!AJ61"")"),0)</f>
        <v>0</v>
      </c>
      <c r="M74" s="90">
        <f ca="1">IFERROR(__xludf.DUMMYFUNCTION("IMPORTRANGE(""https://docs.google.com/spreadsheets/d/1MeEWN-I1oV_STSDYn1IFDPWt_1FKiwhDph83XaGc0o0/edit?usp=sharing"",""งบพรบ!AM61"")"),0)</f>
        <v>0</v>
      </c>
      <c r="N74" s="90">
        <f ca="1">IFERROR(__xludf.DUMMYFUNCTION("IMPORTRANGE(""https://docs.google.com/spreadsheets/d/1MeEWN-I1oV_STSDYn1IFDPWt_1FKiwhDph83XaGc0o0/edit?usp=sharing"",""งบพรบ!AO61"")"),0)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IFERROR(__xludf.DUMMYFUNCTION("IMPORTRANGE(""https://docs.google.com/spreadsheets/d/1QqKyyYR6Q21VydFLVH3TRQUabQu_ym0Zz7PgGX0-kHA/edit?usp=sharing"",""แผน!H61"")"),0)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IFERROR(__xludf.DUMMYFUNCTION("IMPORTRANGE(""https://docs.google.com/spreadsheets/d/1QqKyyYR6Q21VydFLVH3TRQUabQu_ym0Zz7PgGX0-kHA/edit?usp=sharing"",""แผน!I61"")"),0)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IFERROR(__xludf.DUMMYFUNCTION("IMPORTRANGE(""https://docs.google.com/spreadsheets/d/1QqKyyYR6Q21VydFLVH3TRQUabQu_ym0Zz7PgGX0-kHA/edit?usp=sharing"",""แผน!F61"")"),0)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IFERROR(__xludf.DUMMYFUNCTION("IMPORTRANGE(""https://docs.google.com/spreadsheets/d/1QqKyyYR6Q21VydFLVH3TRQUabQu_ym0Zz7PgGX0-kHA/edit?usp=sharing"",""แผน!G61"")"),0)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IFERROR(__xludf.DUMMYFUNCTION("IMPORTRANGE(""https://docs.google.com/spreadsheets/d/1QqKyyYR6Q21VydFLVH3TRQUabQu_ym0Zz7PgGX0-kHA/edit?usp=sharing"",""แผน!D61"")"),0)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IFERROR(__xludf.DUMMYFUNCTION("IMPORTRANGE(""https://docs.google.com/spreadsheets/d/1QqKyyYR6Q21VydFLVH3TRQUabQu_ym0Zz7PgGX0-kHA/edit?usp=sharing"",""แผน!E61"")"),0)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IFERROR(__xludf.DUMMYFUNCTION("IMPORTRANGE(""https://docs.google.com/spreadsheets/d/1QqKyyYR6Q21VydFLVH3TRQUabQu_ym0Zz7PgGX0-kHA/edit?usp=sharing"",""แผน!J61"")"),0)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30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86040</v>
      </c>
      <c r="M88" s="151">
        <f t="shared" ca="1" si="49"/>
        <v>21840</v>
      </c>
      <c r="N88" s="151">
        <f t="shared" ca="1" si="49"/>
        <v>8370</v>
      </c>
      <c r="O88" s="151">
        <f t="shared" ref="O88:O96" ca="1" si="50">IF(L88&gt;0,N88*100/L88,0)</f>
        <v>9.7280334728033466</v>
      </c>
      <c r="P88" s="151">
        <f t="shared" ref="P88:P96" ca="1" si="51">IF(M88&gt;0,N88*100/M88,0)</f>
        <v>38.324175824175825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86040</v>
      </c>
      <c r="M90" s="90">
        <f t="shared" ca="1" si="52"/>
        <v>21840</v>
      </c>
      <c r="N90" s="90">
        <f t="shared" ca="1" si="52"/>
        <v>8370</v>
      </c>
      <c r="O90" s="90">
        <f t="shared" ca="1" si="50"/>
        <v>9.7280334728033466</v>
      </c>
      <c r="P90" s="90">
        <f t="shared" ca="1" si="51"/>
        <v>38.324175824175825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86040</v>
      </c>
      <c r="M91" s="495">
        <f t="shared" ca="1" si="53"/>
        <v>21840</v>
      </c>
      <c r="N91" s="495">
        <f t="shared" ca="1" si="53"/>
        <v>8370</v>
      </c>
      <c r="O91" s="495">
        <f t="shared" ca="1" si="50"/>
        <v>9.7280334728033466</v>
      </c>
      <c r="P91" s="495">
        <f t="shared" ca="1" si="51"/>
        <v>38.324175824175825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IFERROR(__xludf.DUMMYFUNCTION("IMPORTRANGE(""https://docs.google.com/spreadsheets/d/1MeEWN-I1oV_STSDYn1IFDPWt_1FKiwhDph83XaGc0o0/edit?usp=sharing"",""งบพรบ!AQ61"")"),86040)</f>
        <v>86040</v>
      </c>
      <c r="M93" s="90">
        <f ca="1">IFERROR(__xludf.DUMMYFUNCTION("IMPORTRANGE(""https://docs.google.com/spreadsheets/d/1MeEWN-I1oV_STSDYn1IFDPWt_1FKiwhDph83XaGc0o0/edit?usp=sharing"",""งบพรบ!AV61"")"),21840)</f>
        <v>21840</v>
      </c>
      <c r="N93" s="90">
        <f ca="1">IFERROR(__xludf.DUMMYFUNCTION("IMPORTRANGE(""https://docs.google.com/spreadsheets/d/1MeEWN-I1oV_STSDYn1IFDPWt_1FKiwhDph83XaGc0o0/edit?usp=sharing"",""งบพรบ!AX61"")"),8370)</f>
        <v>8370</v>
      </c>
      <c r="O93" s="90">
        <f t="shared" ca="1" si="50"/>
        <v>9.7280334728033466</v>
      </c>
      <c r="P93" s="90">
        <f t="shared" ca="1" si="51"/>
        <v>38.324175824175825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IFERROR(__xludf.DUMMYFUNCTION("IMPORTRANGE(""https://docs.google.com/spreadsheets/d/1MeEWN-I1oV_STSDYn1IFDPWt_1FKiwhDph83XaGc0o0/edit?usp=sharing"",""งบพรบ!AT61"")"),0)</f>
        <v>0</v>
      </c>
      <c r="M96" s="90">
        <f ca="1">IFERROR(__xludf.DUMMYFUNCTION("IMPORTRANGE(""https://docs.google.com/spreadsheets/d/1MeEWN-I1oV_STSDYn1IFDPWt_1FKiwhDph83XaGc0o0/edit?usp=sharing"",""งบพรบ!AW61"")"),0)</f>
        <v>0</v>
      </c>
      <c r="N96" s="90">
        <f ca="1">IFERROR(__xludf.DUMMYFUNCTION("IMPORTRANGE(""https://docs.google.com/spreadsheets/d/1MeEWN-I1oV_STSDYn1IFDPWt_1FKiwhDph83XaGc0o0/edit?usp=sharing"",""งบพรบ!AY61"")"),0)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IFERROR(__xludf.DUMMYFUNCTION("IMPORTRANGE(""https://docs.google.com/spreadsheets/d/1QqKyyYR6Q21VydFLVH3TRQUabQu_ym0Zz7PgGX0-kHA/edit?usp=sharing"",""แผน!K61"")"),30)</f>
        <v>30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IFERROR(__xludf.DUMMYFUNCTION("IMPORTRANGE(""https://docs.google.com/spreadsheets/d/1QqKyyYR6Q21VydFLVH3TRQUabQu_ym0Zz7PgGX0-kHA/edit?usp=sharing"",""แผน!L61"")"),10)</f>
        <v>10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IFERROR(__xludf.DUMMYFUNCTION("IMPORTRANGE(""https://docs.google.com/spreadsheets/d/1QqKyyYR6Q21VydFLVH3TRQUabQu_ym0Zz7PgGX0-kHA/edit?usp=sharing"",""แผน!M61"")"),2)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IFERROR(__xludf.DUMMYFUNCTION("IMPORTRANGE(""https://docs.google.com/spreadsheets/d/1QqKyyYR6Q21VydFLVH3TRQUabQu_ym0Zz7PgGX0-kHA/edit?usp=sharing"",""แผน!N61"")"),30)</f>
        <v>30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IFERROR(__xludf.DUMMYFUNCTION("IMPORTRANGE(""https://docs.google.com/spreadsheets/d/1QqKyyYR6Q21VydFLVH3TRQUabQu_ym0Zz7PgGX0-kHA/edit?usp=sharing"",""แผน!O61"")"),10)</f>
        <v>10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IFERROR(__xludf.DUMMYFUNCTION("IMPORTRANGE(""https://docs.google.com/spreadsheets/d/1QqKyyYR6Q21VydFLVH3TRQUabQu_ym0Zz7PgGX0-kHA/edit?usp=sharing"",""แผน!O61"")"),10)</f>
        <v>10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IFERROR(__xludf.DUMMYFUNCTION("IMPORTRANGE(""https://docs.google.com/spreadsheets/d/1QqKyyYR6Q21VydFLVH3TRQUabQu_ym0Zz7PgGX0-kHA/edit?usp=sharing"",""แผน!P61"")"),1)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IFERROR(__xludf.DUMMYFUNCTION("IMPORTRANGE(""https://docs.google.com/spreadsheets/d/1QqKyyYR6Q21VydFLVH3TRQUabQu_ym0Zz7PgGX0-kHA/edit?usp=sharing"",""แผน!P61"")"),1)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IFERROR(__xludf.DUMMYFUNCTION("IMPORTRANGE(""https://docs.google.com/spreadsheets/d/1QqKyyYR6Q21VydFLVH3TRQUabQu_ym0Zz7PgGX0-kHA/edit?usp=sharing"",""แผน!Q61"")"),1)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IFERROR(__xludf.DUMMYFUNCTION("IMPORTRANGE(""https://docs.google.com/spreadsheets/d/1QqKyyYR6Q21VydFLVH3TRQUabQu_ym0Zz7PgGX0-kHA/edit?usp=sharing"",""แผน!Q61"")"),1)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IFERROR(__xludf.DUMMYFUNCTION("IMPORTRANGE(""https://docs.google.com/spreadsheets/d/1QqKyyYR6Q21VydFLVH3TRQUabQu_ym0Zz7PgGX0-kHA/edit?usp=sharing"",""แผน!R61"")"),10)</f>
        <v>10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IFERROR(__xludf.DUMMYFUNCTION("IMPORTRANGE(""https://docs.google.com/spreadsheets/d/1QqKyyYR6Q21VydFLVH3TRQUabQu_ym0Zz7PgGX0-kHA/edit?usp=sharing"",""แผน!R61"")"),10)</f>
        <v>10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IFERROR(__xludf.DUMMYFUNCTION("IMPORTRANGE(""https://docs.google.com/spreadsheets/d/1QqKyyYR6Q21VydFLVH3TRQUabQu_ym0Zz7PgGX0-kHA/edit?usp=sharing"",""แผน!R61"")"),10)</f>
        <v>10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IFERROR(__xludf.DUMMYFUNCTION("IMPORTRANGE(""https://docs.google.com/spreadsheets/d/1QqKyyYR6Q21VydFLVH3TRQUabQu_ym0Zz7PgGX0-kHA/edit?usp=sharing"",""แผน!S61"")"),1)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IFERROR(__xludf.DUMMYFUNCTION("IMPORTRANGE(""https://docs.google.com/spreadsheets/d/1QqKyyYR6Q21VydFLVH3TRQUabQu_ym0Zz7PgGX0-kHA/edit?usp=sharing"",""แผน!T61"")"),1)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IFERROR(__xludf.DUMMYFUNCTION("IMPORTRANGE(""https://docs.google.com/spreadsheets/d/1MeEWN-I1oV_STSDYn1IFDPWt_1FKiwhDph83XaGc0o0/edit?usp=sharing"",""งบพรบ!BA61"")"),0)</f>
        <v>0</v>
      </c>
      <c r="M124" s="90">
        <f ca="1">IFERROR(__xludf.DUMMYFUNCTION("IMPORTRANGE(""https://docs.google.com/spreadsheets/d/1MeEWN-I1oV_STSDYn1IFDPWt_1FKiwhDph83XaGc0o0/edit?usp=sharing"",""งบพรบ!BF61"")"),0)</f>
        <v>0</v>
      </c>
      <c r="N124" s="90">
        <f ca="1">IFERROR(__xludf.DUMMYFUNCTION("IMPORTRANGE(""https://docs.google.com/spreadsheets/d/1MeEWN-I1oV_STSDYn1IFDPWt_1FKiwhDph83XaGc0o0/edit?usp=sharing"",""งบพรบ!BH61"")"),0)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IFERROR(__xludf.DUMMYFUNCTION("IMPORTRANGE(""https://docs.google.com/spreadsheets/d/1MeEWN-I1oV_STSDYn1IFDPWt_1FKiwhDph83XaGc0o0/edit?usp=sharing"",""งบพรบ!BD61"")"),0)</f>
        <v>0</v>
      </c>
      <c r="M127" s="90">
        <f ca="1">IFERROR(__xludf.DUMMYFUNCTION("IMPORTRANGE(""https://docs.google.com/spreadsheets/d/1MeEWN-I1oV_STSDYn1IFDPWt_1FKiwhDph83XaGc0o0/edit?usp=sharing"",""งบพรบ!BG61"")"),0)</f>
        <v>0</v>
      </c>
      <c r="N127" s="90">
        <f ca="1">IFERROR(__xludf.DUMMYFUNCTION("IMPORTRANGE(""https://docs.google.com/spreadsheets/d/1MeEWN-I1oV_STSDYn1IFDPWt_1FKiwhDph83XaGc0o0/edit?usp=sharing"",""งบพรบ!BI61"")"),0)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IFERROR(__xludf.DUMMYFUNCTION("IMPORTRANGE(""https://docs.google.com/spreadsheets/d/1MeEWN-I1oV_STSDYn1IFDPWt_1FKiwhDph83XaGc0o0/edit?usp=sharing"",""งบพรบ!BK61"")"),0)</f>
        <v>0</v>
      </c>
      <c r="M137" s="90">
        <f ca="1">IFERROR(__xludf.DUMMYFUNCTION("IMPORTRANGE(""https://docs.google.com/spreadsheets/d/1MeEWN-I1oV_STSDYn1IFDPWt_1FKiwhDph83XaGc0o0/edit?usp=sharing"",""งบพรบ!BP61"")"),0)</f>
        <v>0</v>
      </c>
      <c r="N137" s="90">
        <f ca="1">IFERROR(__xludf.DUMMYFUNCTION("IMPORTRANGE(""https://docs.google.com/spreadsheets/d/1MeEWN-I1oV_STSDYn1IFDPWt_1FKiwhDph83XaGc0o0/edit?usp=sharing"",""งบพรบ!BR61"")"),0)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IFERROR(__xludf.DUMMYFUNCTION("IMPORTRANGE(""https://docs.google.com/spreadsheets/d/1MeEWN-I1oV_STSDYn1IFDPWt_1FKiwhDph83XaGc0o0/edit?usp=sharing"",""งบพรบ!BN61"")"),0)</f>
        <v>0</v>
      </c>
      <c r="M140" s="90">
        <f ca="1">IFERROR(__xludf.DUMMYFUNCTION("IMPORTRANGE(""https://docs.google.com/spreadsheets/d/1MeEWN-I1oV_STSDYn1IFDPWt_1FKiwhDph83XaGc0o0/edit?usp=sharing"",""งบพรบ!BQ61"")"),0)</f>
        <v>0</v>
      </c>
      <c r="N140" s="90">
        <f ca="1">IFERROR(__xludf.DUMMYFUNCTION("IMPORTRANGE(""https://docs.google.com/spreadsheets/d/1MeEWN-I1oV_STSDYn1IFDPWt_1FKiwhDph83XaGc0o0/edit?usp=sharing"",""งบพรบ!BS61"")"),0)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IFERROR(__xludf.DUMMYFUNCTION("IMPORTRANGE(""https://docs.google.com/spreadsheets/d/1QqKyyYR6Q21VydFLVH3TRQUabQu_ym0Zz7PgGX0-kHA/edit?usp=sharing"",""แผน!U61"")"),0)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IFERROR(__xludf.DUMMYFUNCTION("IMPORTRANGE(""https://docs.google.com/spreadsheets/d/1QqKyyYR6Q21VydFLVH3TRQUabQu_ym0Zz7PgGX0-kHA/edit?usp=sharing"",""แผน!V61"")"),0)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IFERROR(__xludf.DUMMYFUNCTION("IMPORTRANGE(""https://docs.google.com/spreadsheets/d/1QqKyyYR6Q21VydFLVH3TRQUabQu_ym0Zz7PgGX0-kHA/edit?usp=sharing"",""แผน!W61"")"),0)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IFERROR(__xludf.DUMMYFUNCTION("IMPORTRANGE(""https://docs.google.com/spreadsheets/d/1MeEWN-I1oV_STSDYn1IFDPWt_1FKiwhDph83XaGc0o0/edit?usp=sharing"",""งบพรบ!BU61"")"),0)</f>
        <v>0</v>
      </c>
      <c r="M154" s="90">
        <f ca="1">IFERROR(__xludf.DUMMYFUNCTION("IMPORTRANGE(""https://docs.google.com/spreadsheets/d/1MeEWN-I1oV_STSDYn1IFDPWt_1FKiwhDph83XaGc0o0/edit?usp=sharing"",""งบพรบ!BZ61"")"),0)</f>
        <v>0</v>
      </c>
      <c r="N154" s="90">
        <f ca="1">IFERROR(__xludf.DUMMYFUNCTION("IMPORTRANGE(""https://docs.google.com/spreadsheets/d/1MeEWN-I1oV_STSDYn1IFDPWt_1FKiwhDph83XaGc0o0/edit?usp=sharing"",""งบพรบ!CB61"")"),0)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IFERROR(__xludf.DUMMYFUNCTION("IMPORTRANGE(""https://docs.google.com/spreadsheets/d/1MeEWN-I1oV_STSDYn1IFDPWt_1FKiwhDph83XaGc0o0/edit?usp=sharing"",""งบพรบ!BX61"")"),0)</f>
        <v>0</v>
      </c>
      <c r="M157" s="90">
        <f ca="1">IFERROR(__xludf.DUMMYFUNCTION("IMPORTRANGE(""https://docs.google.com/spreadsheets/d/1MeEWN-I1oV_STSDYn1IFDPWt_1FKiwhDph83XaGc0o0/edit?usp=sharing"",""งบพรบ!CA61"")"),0)</f>
        <v>0</v>
      </c>
      <c r="N157" s="90">
        <f ca="1">IFERROR(__xludf.DUMMYFUNCTION("IMPORTRANGE(""https://docs.google.com/spreadsheets/d/1MeEWN-I1oV_STSDYn1IFDPWt_1FKiwhDph83XaGc0o0/edit?usp=sharing"",""งบพรบ!CC61"")"),0)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IFERROR(__xludf.DUMMYFUNCTION("IMPORTRANGE(""https://docs.google.com/spreadsheets/d/1QqKyyYR6Q21VydFLVH3TRQUabQu_ym0Zz7PgGX0-kHA/edit?usp=sharing"",""แผน!X61"")"),0)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21050</v>
      </c>
      <c r="O165" s="150">
        <f t="shared" ref="O165:O173" ca="1" si="85">IF(L165&gt;0,N165*100/L165,0)</f>
        <v>100</v>
      </c>
      <c r="P165" s="150">
        <f t="shared" ref="P165:P173" ca="1" si="86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21050</v>
      </c>
      <c r="O167" s="90">
        <f t="shared" ca="1" si="85"/>
        <v>100</v>
      </c>
      <c r="P167" s="90">
        <f t="shared" ca="1" si="86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21050</v>
      </c>
      <c r="O168" s="495">
        <f t="shared" ca="1" si="85"/>
        <v>100</v>
      </c>
      <c r="P168" s="495">
        <f t="shared" ca="1" si="86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IFERROR(__xludf.DUMMYFUNCTION("IMPORTRANGE(""https://docs.google.com/spreadsheets/d/1MeEWN-I1oV_STSDYn1IFDPWt_1FKiwhDph83XaGc0o0/edit?usp=sharing"",""งบพรบ!CE61"")"),21050)</f>
        <v>21050</v>
      </c>
      <c r="M170" s="90">
        <f ca="1">IFERROR(__xludf.DUMMYFUNCTION("IMPORTRANGE(""https://docs.google.com/spreadsheets/d/1MeEWN-I1oV_STSDYn1IFDPWt_1FKiwhDph83XaGc0o0/edit?usp=sharing"",""งบพรบ!CJ61"")"),21050)</f>
        <v>21050</v>
      </c>
      <c r="N170" s="90">
        <f ca="1">IFERROR(__xludf.DUMMYFUNCTION("IMPORTRANGE(""https://docs.google.com/spreadsheets/d/1MeEWN-I1oV_STSDYn1IFDPWt_1FKiwhDph83XaGc0o0/edit?usp=sharing"",""งบพรบ!CL61"")"),21050)</f>
        <v>21050</v>
      </c>
      <c r="O170" s="90">
        <f t="shared" ca="1" si="85"/>
        <v>100</v>
      </c>
      <c r="P170" s="90">
        <f t="shared" ca="1" si="86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IFERROR(__xludf.DUMMYFUNCTION("IMPORTRANGE(""https://docs.google.com/spreadsheets/d/1MeEWN-I1oV_STSDYn1IFDPWt_1FKiwhDph83XaGc0o0/edit?usp=sharing"",""งบพรบ!CH61"")"),0)</f>
        <v>0</v>
      </c>
      <c r="M173" s="90">
        <f ca="1">IFERROR(__xludf.DUMMYFUNCTION("IMPORTRANGE(""https://docs.google.com/spreadsheets/d/1MeEWN-I1oV_STSDYn1IFDPWt_1FKiwhDph83XaGc0o0/edit?usp=sharing"",""งบพรบ!CK61"")"),0)</f>
        <v>0</v>
      </c>
      <c r="N173" s="90">
        <f ca="1">IFERROR(__xludf.DUMMYFUNCTION("IMPORTRANGE(""https://docs.google.com/spreadsheets/d/1MeEWN-I1oV_STSDYn1IFDPWt_1FKiwhDph83XaGc0o0/edit?usp=sharing"",""งบพรบ!CM61"")"),0)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IFERROR(__xludf.DUMMYFUNCTION("IMPORTRANGE(""https://docs.google.com/spreadsheets/d/1QqKyyYR6Q21VydFLVH3TRQUabQu_ym0Zz7PgGX0-kHA/edit?usp=sharing"",""แผน!Y61"")"),10)</f>
        <v>10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919700</v>
      </c>
      <c r="M181" s="150">
        <f t="shared" ca="1" si="91"/>
        <v>428300</v>
      </c>
      <c r="N181" s="150">
        <f t="shared" ca="1" si="91"/>
        <v>120726.48</v>
      </c>
      <c r="O181" s="150">
        <f t="shared" ref="O181:O189" ca="1" si="92">IF(L181&gt;0,N181*100/L181,0)</f>
        <v>13.126723931716864</v>
      </c>
      <c r="P181" s="150">
        <f t="shared" ref="P181:P189" ca="1" si="93">IF(M181&gt;0,N181*100/M181,0)</f>
        <v>28.187363997198226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919700</v>
      </c>
      <c r="M183" s="90">
        <f t="shared" ca="1" si="94"/>
        <v>428300</v>
      </c>
      <c r="N183" s="90">
        <f t="shared" ca="1" si="94"/>
        <v>120726.48</v>
      </c>
      <c r="O183" s="90">
        <f t="shared" ca="1" si="92"/>
        <v>13.126723931716864</v>
      </c>
      <c r="P183" s="90">
        <f t="shared" ca="1" si="93"/>
        <v>28.187363997198226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919700</v>
      </c>
      <c r="M184" s="495">
        <f t="shared" ca="1" si="95"/>
        <v>428300</v>
      </c>
      <c r="N184" s="495">
        <f t="shared" ca="1" si="95"/>
        <v>120726.48</v>
      </c>
      <c r="O184" s="495">
        <f t="shared" ca="1" si="92"/>
        <v>13.126723931716864</v>
      </c>
      <c r="P184" s="495">
        <f t="shared" ca="1" si="93"/>
        <v>28.187363997198226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IFERROR(__xludf.DUMMYFUNCTION("IMPORTRANGE(""https://docs.google.com/spreadsheets/d/1MeEWN-I1oV_STSDYn1IFDPWt_1FKiwhDph83XaGc0o0/edit?usp=sharing"",""งบพรบ!CO61"")"),919700)</f>
        <v>919700</v>
      </c>
      <c r="M186" s="90">
        <f ca="1">IFERROR(__xludf.DUMMYFUNCTION("IMPORTRANGE(""https://docs.google.com/spreadsheets/d/1MeEWN-I1oV_STSDYn1IFDPWt_1FKiwhDph83XaGc0o0/edit?usp=sharing"",""งบพรบ!CT61"")"),428300)</f>
        <v>428300</v>
      </c>
      <c r="N186" s="90">
        <f ca="1">IFERROR(__xludf.DUMMYFUNCTION("IMPORTRANGE(""https://docs.google.com/spreadsheets/d/1MeEWN-I1oV_STSDYn1IFDPWt_1FKiwhDph83XaGc0o0/edit?usp=sharing"",""งบพรบ!CV61"")"),120726.48)</f>
        <v>120726.48</v>
      </c>
      <c r="O186" s="90">
        <f t="shared" ca="1" si="92"/>
        <v>13.126723931716864</v>
      </c>
      <c r="P186" s="90">
        <f t="shared" ca="1" si="93"/>
        <v>28.187363997198226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IFERROR(__xludf.DUMMYFUNCTION("IMPORTRANGE(""https://docs.google.com/spreadsheets/d/1MeEWN-I1oV_STSDYn1IFDPWt_1FKiwhDph83XaGc0o0/edit?usp=sharing"",""งบพรบ!CR61"")"),0)</f>
        <v>0</v>
      </c>
      <c r="M189" s="90">
        <f ca="1">IFERROR(__xludf.DUMMYFUNCTION("IMPORTRANGE(""https://docs.google.com/spreadsheets/d/1MeEWN-I1oV_STSDYn1IFDPWt_1FKiwhDph83XaGc0o0/edit?usp=sharing"",""งบพรบ!CU61"")"),0)</f>
        <v>0</v>
      </c>
      <c r="N189" s="90">
        <f ca="1">IFERROR(__xludf.DUMMYFUNCTION("IMPORTRANGE(""https://docs.google.com/spreadsheets/d/1MeEWN-I1oV_STSDYn1IFDPWt_1FKiwhDph83XaGc0o0/edit?usp=sharing"",""งบพรบ!CW61"")"),0)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IFERROR(__xludf.DUMMYFUNCTION("IMPORTRANGE(""https://docs.google.com/spreadsheets/d/1QqKyyYR6Q21VydFLVH3TRQUabQu_ym0Zz7PgGX0-kHA/edit?usp=sharing"",""แผน!Z61"")"),6000)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IFERROR(__xludf.DUMMYFUNCTION("IMPORTRANGE(""https://docs.google.com/spreadsheets/d/1QqKyyYR6Q21VydFLVH3TRQUabQu_ym0Zz7PgGX0-kHA/edit?usp=sharing"",""แผน!AC61"")"),4)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1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13000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IFERROR(__xludf.DUMMYFUNCTION("IMPORTRANGE(""https://docs.google.com/spreadsheets/d/1QqKyyYR6Q21VydFLVH3TRQUabQu_ym0Zz7PgGX0-kHA/edit?usp=sharing"",""แผน!AE61"")"),1000)</f>
        <v>1000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IFERROR(__xludf.DUMMYFUNCTION("IMPORTRANGE(""https://docs.google.com/spreadsheets/d/1QqKyyYR6Q21VydFLVH3TRQUabQu_ym0Zz7PgGX0-kHA/edit?usp=sharing"",""แผน!AF61"")"),8000)</f>
        <v>8000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IFERROR(__xludf.DUMMYFUNCTION("IMPORTRANGE(""https://docs.google.com/spreadsheets/d/1QqKyyYR6Q21VydFLVH3TRQUabQu_ym0Zz7PgGX0-kHA/edit?usp=sharing"",""แผน!AG61"")"),4000)</f>
        <v>4000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IFERROR(__xludf.DUMMYFUNCTION("IMPORTRANGE(""https://docs.google.com/spreadsheets/d/1QqKyyYR6Q21VydFLVH3TRQUabQu_ym0Zz7PgGX0-kHA/edit?usp=sharing"",""แผน!AH61"")"),0)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IFERROR(__xludf.DUMMYFUNCTION("IMPORTRANGE(""https://docs.google.com/spreadsheets/d/1QqKyyYR6Q21VydFLVH3TRQUabQu_ym0Zz7PgGX0-kHA/edit?usp=sharing"",""แผน!AI61"")"),1)</f>
        <v>1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1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IFERROR(__xludf.DUMMYFUNCTION("IMPORTRANGE(""https://docs.google.com/spreadsheets/d/1QqKyyYR6Q21VydFLVH3TRQUabQu_ym0Zz7PgGX0-kHA/edit?usp=sharing"",""แผน!AK61"")"),0)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IFERROR(__xludf.DUMMYFUNCTION("IMPORTRANGE(""https://docs.google.com/spreadsheets/d/1QqKyyYR6Q21VydFLVH3TRQUabQu_ym0Zz7PgGX0-kHA/edit?usp=sharing"",""แผน!AL61"")"),0)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IFERROR(__xludf.DUMMYFUNCTION("IMPORTRANGE(""https://docs.google.com/spreadsheets/d/1QqKyyYR6Q21VydFLVH3TRQUabQu_ym0Zz7PgGX0-kHA/edit?usp=sharing"",""แผน!AM61"")"),0)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IFERROR(__xludf.DUMMYFUNCTION("IMPORTRANGE(""https://docs.google.com/spreadsheets/d/1QqKyyYR6Q21VydFLVH3TRQUabQu_ym0Zz7PgGX0-kHA/edit?usp=sharing"",""แผน!AN61"")"),0)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IFERROR(__xludf.DUMMYFUNCTION("IMPORTRANGE(""https://docs.google.com/spreadsheets/d/1QqKyyYR6Q21VydFLVH3TRQUabQu_ym0Zz7PgGX0-kHA/edit?usp=sharing"",""แผน!AN61"")"),0)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20000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8000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IFERROR(__xludf.DUMMYFUNCTION("IMPORTRANGE(""https://docs.google.com/spreadsheets/d/1QqKyyYR6Q21VydFLVH3TRQUabQu_ym0Zz7PgGX0-kHA/edit?usp=sharing"",""แผน!AP61"")"),3000)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IFERROR(__xludf.DUMMYFUNCTION("IMPORTRANGE(""https://docs.google.com/spreadsheets/d/1QqKyyYR6Q21VydFLVH3TRQUabQu_ym0Zz7PgGX0-kHA/edit?usp=sharing"",""แผน!AQ61"")"),5000)</f>
        <v>5000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IFERROR(__xludf.DUMMYFUNCTION("IMPORTRANGE(""https://docs.google.com/spreadsheets/d/1QqKyyYR6Q21VydFLVH3TRQUabQu_ym0Zz7PgGX0-kHA/edit?usp=sharing"",""แผน!AR61"")"),0)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IFERROR(__xludf.DUMMYFUNCTION("IMPORTRANGE(""https://docs.google.com/spreadsheets/d/1QqKyyYR6Q21VydFLVH3TRQUabQu_ym0Zz7PgGX0-kHA/edit?usp=sharing"",""แผน!AT61"")"),20000)</f>
        <v>20000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IFERROR(__xludf.DUMMYFUNCTION("IMPORTRANGE(""https://docs.google.com/spreadsheets/d/1QqKyyYR6Q21VydFLVH3TRQUabQu_ym0Zz7PgGX0-kHA/edit?usp=sharing"",""แผน!AT61"")"),20000)</f>
        <v>20000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IFERROR(__xludf.DUMMYFUNCTION("IMPORTRANGE(""https://docs.google.com/spreadsheets/d/1QqKyyYR6Q21VydFLVH3TRQUabQu_ym0Zz7PgGX0-kHA/edit?usp=sharing"",""แผน!AS61"")"),0)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220900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163000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32900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15000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10000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30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1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341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30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220900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IFERROR(__xludf.DUMMYFUNCTION("IMPORTRANGE(""https://docs.google.com/spreadsheets/d/1QqKyyYR6Q21VydFLVH3TRQUabQu_ym0Zz7PgGX0-kHA/edit?usp=sharing"",""แผน!AV61"")"),163000)</f>
        <v>163000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IFERROR(__xludf.DUMMYFUNCTION("IMPORTRANGE(""https://docs.google.com/spreadsheets/d/1QqKyyYR6Q21VydFLVH3TRQUabQu_ym0Zz7PgGX0-kHA/edit?usp=sharing"",""แผน!AW61"")"),32900)</f>
        <v>32900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IFERROR(__xludf.DUMMYFUNCTION("IMPORTRANGE(""https://docs.google.com/spreadsheets/d/1QqKyyYR6Q21VydFLVH3TRQUabQu_ym0Zz7PgGX0-kHA/edit?usp=sharing"",""แผน!AX61"")"),15000)</f>
        <v>15000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IFERROR(__xludf.DUMMYFUNCTION("IMPORTRANGE(""https://docs.google.com/spreadsheets/d/1QqKyyYR6Q21VydFLVH3TRQUabQu_ym0Zz7PgGX0-kHA/edit?usp=sharing"",""แผน!AY61"")"),10000)</f>
        <v>10000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IFERROR(__xludf.DUMMYFUNCTION("IMPORTRANGE(""https://docs.google.com/spreadsheets/d/1QqKyyYR6Q21VydFLVH3TRQUabQu_ym0Zz7PgGX0-kHA/edit?usp=sharing"",""แผน!BE61"")"),30)</f>
        <v>30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30</v>
      </c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IFERROR(__xludf.DUMMYFUNCTION("IMPORTRANGE(""https://docs.google.com/spreadsheets/d/1QqKyyYR6Q21VydFLVH3TRQUabQu_ym0Zz7PgGX0-kHA/edit?usp=sharing"",""แผน!AZ61"")"),0)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IFERROR(__xludf.DUMMYFUNCTION("IMPORTRANGE(""https://docs.google.com/spreadsheets/d/1QqKyyYR6Q21VydFLVH3TRQUabQu_ym0Zz7PgGX0-kHA/edit?usp=sharing"",""แผน!BA61"")"),0)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IFERROR(__xludf.DUMMYFUNCTION("IMPORTRANGE(""https://docs.google.com/spreadsheets/d/1QqKyyYR6Q21VydFLVH3TRQUabQu_ym0Zz7PgGX0-kHA/edit?usp=sharing"",""แผน!BB61"")"),0)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IFERROR(__xludf.DUMMYFUNCTION("IMPORTRANGE(""https://docs.google.com/spreadsheets/d/1QqKyyYR6Q21VydFLVH3TRQUabQu_ym0Zz7PgGX0-kHA/edit?usp=sharing"",""แผน!BC61"")"),0)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IFERROR(__xludf.DUMMYFUNCTION("IMPORTRANGE(""https://docs.google.com/spreadsheets/d/1QqKyyYR6Q21VydFLVH3TRQUabQu_ym0Zz7PgGX0-kHA/edit?usp=sharing"",""แผน!BF61"")"),"")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IFERROR(__xludf.DUMMYFUNCTION("IMPORTRANGE(""https://docs.google.com/spreadsheets/d/1MeEWN-I1oV_STSDYn1IFDPWt_1FKiwhDph83XaGc0o0/edit?usp=sharing"",""งบพรบ!CY61"")"),26900)</f>
        <v>26900</v>
      </c>
      <c r="M266" s="90">
        <f ca="1">IFERROR(__xludf.DUMMYFUNCTION("IMPORTRANGE(""https://docs.google.com/spreadsheets/d/1MeEWN-I1oV_STSDYn1IFDPWt_1FKiwhDph83XaGc0o0/edit?usp=sharing"",""งบพรบ!DD61"")"),0)</f>
        <v>0</v>
      </c>
      <c r="N266" s="90">
        <f ca="1">IFERROR(__xludf.DUMMYFUNCTION("IMPORTRANGE(""https://docs.google.com/spreadsheets/d/1MeEWN-I1oV_STSDYn1IFDPWt_1FKiwhDph83XaGc0o0/edit?usp=sharing"",""งบพรบ!DF61"")"),0)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IFERROR(__xludf.DUMMYFUNCTION("IMPORTRANGE(""https://docs.google.com/spreadsheets/d/1MeEWN-I1oV_STSDYn1IFDPWt_1FKiwhDph83XaGc0o0/edit?usp=sharing"",""งบพรบ!DB61"")"),0)</f>
        <v>0</v>
      </c>
      <c r="M269" s="90">
        <f ca="1">IFERROR(__xludf.DUMMYFUNCTION("IMPORTRANGE(""https://docs.google.com/spreadsheets/d/1MeEWN-I1oV_STSDYn1IFDPWt_1FKiwhDph83XaGc0o0/edit?usp=sharing"",""งบพรบ!DE61"")"),0)</f>
        <v>0</v>
      </c>
      <c r="N269" s="90">
        <f ca="1">IFERROR(__xludf.DUMMYFUNCTION("IMPORTRANGE(""https://docs.google.com/spreadsheets/d/1MeEWN-I1oV_STSDYn1IFDPWt_1FKiwhDph83XaGc0o0/edit?usp=sharing"",""งบพรบ!DG61"")"),0)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IFERROR(__xludf.DUMMYFUNCTION("IMPORTRANGE(""https://docs.google.com/spreadsheets/d/1QqKyyYR6Q21VydFLVH3TRQUabQu_ym0Zz7PgGX0-kHA/edit?usp=sharing"",""แผน!EA61"")"),22)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 hidden="1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0</v>
      </c>
      <c r="M277" s="151">
        <f t="shared" ca="1" si="124"/>
        <v>0</v>
      </c>
      <c r="N277" s="151">
        <f t="shared" ca="1" si="124"/>
        <v>0</v>
      </c>
      <c r="O277" s="151">
        <f t="shared" ref="O277:O285" ca="1" si="125">IF(L277&gt;0,N277*100/L277,0)</f>
        <v>0</v>
      </c>
      <c r="P277" s="151">
        <f t="shared" ref="P277:P285" ca="1" si="126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0</v>
      </c>
      <c r="M279" s="90">
        <f t="shared" ca="1" si="127"/>
        <v>0</v>
      </c>
      <c r="N279" s="90">
        <f t="shared" ca="1" si="127"/>
        <v>0</v>
      </c>
      <c r="O279" s="90">
        <f t="shared" ca="1" si="125"/>
        <v>0</v>
      </c>
      <c r="P279" s="90">
        <f t="shared" ca="1" si="126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0</v>
      </c>
      <c r="M280" s="495">
        <f t="shared" ca="1" si="128"/>
        <v>0</v>
      </c>
      <c r="N280" s="495">
        <f t="shared" ca="1" si="128"/>
        <v>0</v>
      </c>
      <c r="O280" s="495">
        <f t="shared" ca="1" si="125"/>
        <v>0</v>
      </c>
      <c r="P280" s="495">
        <f t="shared" ca="1" si="126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IFERROR(__xludf.DUMMYFUNCTION("IMPORTRANGE(""https://docs.google.com/spreadsheets/d/1MeEWN-I1oV_STSDYn1IFDPWt_1FKiwhDph83XaGc0o0/edit?usp=sharing"",""งบพรบ!DI61"")"),0)</f>
        <v>0</v>
      </c>
      <c r="M282" s="90">
        <f ca="1">IFERROR(__xludf.DUMMYFUNCTION("IMPORTRANGE(""https://docs.google.com/spreadsheets/d/1MeEWN-I1oV_STSDYn1IFDPWt_1FKiwhDph83XaGc0o0/edit?usp=sharing"",""งบพรบ!DN61"")"),0)</f>
        <v>0</v>
      </c>
      <c r="N282" s="90">
        <f ca="1">IFERROR(__xludf.DUMMYFUNCTION("IMPORTRANGE(""https://docs.google.com/spreadsheets/d/1MeEWN-I1oV_STSDYn1IFDPWt_1FKiwhDph83XaGc0o0/edit?usp=sharing"",""งบพรบ!DP61"")"),0)</f>
        <v>0</v>
      </c>
      <c r="O282" s="90">
        <f t="shared" ca="1" si="125"/>
        <v>0</v>
      </c>
      <c r="P282" s="90">
        <f t="shared" ca="1" si="126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IFERROR(__xludf.DUMMYFUNCTION("IMPORTRANGE(""https://docs.google.com/spreadsheets/d/1MeEWN-I1oV_STSDYn1IFDPWt_1FKiwhDph83XaGc0o0/edit?usp=sharing"",""งบพรบ!DL61"")"),0)</f>
        <v>0</v>
      </c>
      <c r="M285" s="90">
        <f ca="1">IFERROR(__xludf.DUMMYFUNCTION("IMPORTRANGE(""https://docs.google.com/spreadsheets/d/1MeEWN-I1oV_STSDYn1IFDPWt_1FKiwhDph83XaGc0o0/edit?usp=sharing"",""งบพรบ!DO61"")"),0)</f>
        <v>0</v>
      </c>
      <c r="N285" s="90">
        <f ca="1">IFERROR(__xludf.DUMMYFUNCTION("IMPORTRANGE(""https://docs.google.com/spreadsheets/d/1MeEWN-I1oV_STSDYn1IFDPWt_1FKiwhDph83XaGc0o0/edit?usp=sharing"",""งบพรบ!DQ61"")"),0)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IFERROR(__xludf.DUMMYFUNCTION("IMPORTRANGE(""https://docs.google.com/spreadsheets/d/1QqKyyYR6Q21VydFLVH3TRQUabQu_ym0Zz7PgGX0-kHA/edit?usp=sharing"",""แผน!EC61"")"),0)</f>
        <v>0</v>
      </c>
      <c r="J287" s="264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IFERROR(__xludf.DUMMYFUNCTION("IMPORTRANGE(""https://docs.google.com/spreadsheets/d/1QqKyyYR6Q21VydFLVH3TRQUabQu_ym0Zz7PgGX0-kHA/edit?usp=sharing"",""แผน!EB61"")"),0)</f>
        <v>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IFERROR(__xludf.DUMMYFUNCTION("IMPORTRANGE(""https://docs.google.com/spreadsheets/d/1QqKyyYR6Q21VydFLVH3TRQUabQu_ym0Zz7PgGX0-kHA/edit?usp=sharing"",""แผน!EB61"")"),0)</f>
        <v>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IFERROR(__xludf.DUMMYFUNCTION("IMPORTRANGE(""https://docs.google.com/spreadsheets/d/1QqKyyYR6Q21VydFLVH3TRQUabQu_ym0Zz7PgGX0-kHA/edit?usp=sharing"",""แผน!EB61"")"),0)</f>
        <v>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IFERROR(__xludf.DUMMYFUNCTION("IMPORTRANGE(""https://docs.google.com/spreadsheets/d/1QqKyyYR6Q21VydFLVH3TRQUabQu_ym0Zz7PgGX0-kHA/edit?usp=sharing"",""แผน!EB61"")"),0)</f>
        <v>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IFERROR(__xludf.DUMMYFUNCTION("IMPORTRANGE(""https://docs.google.com/spreadsheets/d/1QqKyyYR6Q21VydFLVH3TRQUabQu_ym0Zz7PgGX0-kHA/edit?usp=sharing"",""แผน!EB61"")"),0)</f>
        <v>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 hidden="1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 hidden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 hidden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0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 hidden="1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0</v>
      </c>
      <c r="M298" s="151">
        <f t="shared" ca="1" si="134"/>
        <v>0</v>
      </c>
      <c r="N298" s="151">
        <f t="shared" ca="1" si="134"/>
        <v>0</v>
      </c>
      <c r="O298" s="151">
        <f t="shared" ref="O298:O306" ca="1" si="135">IF(L298&gt;0,N298*100/L298,0)</f>
        <v>0</v>
      </c>
      <c r="P298" s="151">
        <f t="shared" ref="P298:P306" ca="1" si="136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0</v>
      </c>
      <c r="M300" s="90">
        <f t="shared" ca="1" si="137"/>
        <v>0</v>
      </c>
      <c r="N300" s="90">
        <f t="shared" ca="1" si="137"/>
        <v>0</v>
      </c>
      <c r="O300" s="90">
        <f t="shared" ca="1" si="135"/>
        <v>0</v>
      </c>
      <c r="P300" s="90">
        <f t="shared" ca="1" si="136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0</v>
      </c>
      <c r="M301" s="495">
        <f t="shared" ca="1" si="138"/>
        <v>0</v>
      </c>
      <c r="N301" s="495">
        <f t="shared" ca="1" si="138"/>
        <v>0</v>
      </c>
      <c r="O301" s="495">
        <f t="shared" ca="1" si="135"/>
        <v>0</v>
      </c>
      <c r="P301" s="495">
        <f t="shared" ca="1" si="136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IFERROR(__xludf.DUMMYFUNCTION("IMPORTRANGE(""https://docs.google.com/spreadsheets/d/1MeEWN-I1oV_STSDYn1IFDPWt_1FKiwhDph83XaGc0o0/edit?usp=sharing"",""งบพรบ!DS61"")"),0)</f>
        <v>0</v>
      </c>
      <c r="M303" s="90">
        <f ca="1">IFERROR(__xludf.DUMMYFUNCTION("IMPORTRANGE(""https://docs.google.com/spreadsheets/d/1MeEWN-I1oV_STSDYn1IFDPWt_1FKiwhDph83XaGc0o0/edit?usp=sharing"",""งบพรบ!DX61"")"),0)</f>
        <v>0</v>
      </c>
      <c r="N303" s="90">
        <f ca="1">IFERROR(__xludf.DUMMYFUNCTION("IMPORTRANGE(""https://docs.google.com/spreadsheets/d/1MeEWN-I1oV_STSDYn1IFDPWt_1FKiwhDph83XaGc0o0/edit?usp=sharing"",""งบพรบ!DZ61"")"),0)</f>
        <v>0</v>
      </c>
      <c r="O303" s="90">
        <f t="shared" ca="1" si="135"/>
        <v>0</v>
      </c>
      <c r="P303" s="90">
        <f t="shared" ca="1" si="136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IFERROR(__xludf.DUMMYFUNCTION("IMPORTRANGE(""https://docs.google.com/spreadsheets/d/1MeEWN-I1oV_STSDYn1IFDPWt_1FKiwhDph83XaGc0o0/edit?usp=sharing"",""งบพรบ!DV61"")"),0)</f>
        <v>0</v>
      </c>
      <c r="M306" s="90">
        <f ca="1">IFERROR(__xludf.DUMMYFUNCTION("IMPORTRANGE(""https://docs.google.com/spreadsheets/d/1MeEWN-I1oV_STSDYn1IFDPWt_1FKiwhDph83XaGc0o0/edit?usp=sharing"",""งบพรบ!DY61"")"),0)</f>
        <v>0</v>
      </c>
      <c r="N306" s="90">
        <f ca="1">IFERROR(__xludf.DUMMYFUNCTION("IMPORTRANGE(""https://docs.google.com/spreadsheets/d/1MeEWN-I1oV_STSDYn1IFDPWt_1FKiwhDph83XaGc0o0/edit?usp=sharing"",""งบพรบ!EA61"")"),0)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 hidden="1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 hidden="1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IFERROR(__xludf.DUMMYFUNCTION("IMPORTRANGE(""https://docs.google.com/spreadsheets/d/1QqKyyYR6Q21VydFLVH3TRQUabQu_ym0Zz7PgGX0-kHA/edit?usp=sharing"",""แผน!ED61"")"),0)</f>
        <v>0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 hidden="1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IFERROR(__xludf.DUMMYFUNCTION("IMPORTRANGE(""https://docs.google.com/spreadsheets/d/1QqKyyYR6Q21VydFLVH3TRQUabQu_ym0Zz7PgGX0-kHA/edit?usp=sharing"",""แผน!ED61"")"),0)</f>
        <v>0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 hidden="1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IFERROR(__xludf.DUMMYFUNCTION("IMPORTRANGE(""https://docs.google.com/spreadsheets/d/1QqKyyYR6Q21VydFLVH3TRQUabQu_ym0Zz7PgGX0-kHA/edit?usp=sharing"",""แผน!ED61"")"),0)</f>
        <v>0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 hidden="1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IFERROR(__xludf.DUMMYFUNCTION("IMPORTRANGE(""https://docs.google.com/spreadsheets/d/1QqKyyYR6Q21VydFLVH3TRQUabQu_ym0Zz7PgGX0-kHA/edit?usp=sharing"",""แผน!EE61"")"),0)</f>
        <v>0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IFERROR(__xludf.DUMMYFUNCTION("IMPORTRANGE(""https://docs.google.com/spreadsheets/d/1MeEWN-I1oV_STSDYn1IFDPWt_1FKiwhDph83XaGc0o0/edit?usp=sharing"",""งบพรบ!EC61"")"),0)</f>
        <v>0</v>
      </c>
      <c r="M320" s="90">
        <f ca="1">IFERROR(__xludf.DUMMYFUNCTION("IMPORTRANGE(""https://docs.google.com/spreadsheets/d/1MeEWN-I1oV_STSDYn1IFDPWt_1FKiwhDph83XaGc0o0/edit?usp=sharing"",""งบพรบ!EH61"")"),0)</f>
        <v>0</v>
      </c>
      <c r="N320" s="90">
        <f ca="1">IFERROR(__xludf.DUMMYFUNCTION("IMPORTRANGE(""https://docs.google.com/spreadsheets/d/1MeEWN-I1oV_STSDYn1IFDPWt_1FKiwhDph83XaGc0o0/edit?usp=sharing"",""งบพรบ!EJ61"")"),0)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IFERROR(__xludf.DUMMYFUNCTION("IMPORTRANGE(""https://docs.google.com/spreadsheets/d/1MeEWN-I1oV_STSDYn1IFDPWt_1FKiwhDph83XaGc0o0/edit?usp=sharing"",""งบพรบ!EF61"")"),0)</f>
        <v>0</v>
      </c>
      <c r="M323" s="90">
        <f ca="1">IFERROR(__xludf.DUMMYFUNCTION("IMPORTRANGE(""https://docs.google.com/spreadsheets/d/1MeEWN-I1oV_STSDYn1IFDPWt_1FKiwhDph83XaGc0o0/edit?usp=sharing"",""งบพรบ!EI61"")"),0)</f>
        <v>0</v>
      </c>
      <c r="N323" s="90">
        <f ca="1">IFERROR(__xludf.DUMMYFUNCTION("IMPORTRANGE(""https://docs.google.com/spreadsheets/d/1MeEWN-I1oV_STSDYn1IFDPWt_1FKiwhDph83XaGc0o0/edit?usp=sharing"",""งบพรบ!EK61"")"),0)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IFERROR(__xludf.DUMMYFUNCTION("IMPORTRANGE(""https://docs.google.com/spreadsheets/d/1QqKyyYR6Q21VydFLVH3TRQUabQu_ym0Zz7PgGX0-kHA/edit?usp=sharing"",""แผน!EF61"")"),0)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IFERROR(__xludf.DUMMYFUNCTION("IMPORTRANGE(""https://docs.google.com/spreadsheets/d/1QqKyyYR6Q21VydFLVH3TRQUabQu_ym0Zz7PgGX0-kHA/edit?usp=sharing"",""แผน!EG61"")"),1400)</f>
        <v>1400</v>
      </c>
      <c r="J327" s="442">
        <f ca="1">J338+J341+J342+J343</f>
        <v>126</v>
      </c>
      <c r="K327" s="443">
        <f ca="1">IF(I327&gt;0,J327*100/I327,0)</f>
        <v>9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337200</v>
      </c>
      <c r="M328" s="151">
        <f t="shared" ca="1" si="148"/>
        <v>168600</v>
      </c>
      <c r="N328" s="151">
        <f t="shared" ca="1" si="148"/>
        <v>44840.01</v>
      </c>
      <c r="O328" s="151">
        <f t="shared" ref="O328:O336" ca="1" si="149">IF(L328&gt;0,N328*100/L328,0)</f>
        <v>13.297749110320284</v>
      </c>
      <c r="P328" s="151">
        <f t="shared" ref="P328:P336" ca="1" si="150">IF(M328&gt;0,N328*100/M328,0)</f>
        <v>26.595498220640568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337200</v>
      </c>
      <c r="M330" s="90">
        <f t="shared" ca="1" si="151"/>
        <v>168600</v>
      </c>
      <c r="N330" s="90">
        <f t="shared" ca="1" si="151"/>
        <v>44840.01</v>
      </c>
      <c r="O330" s="90">
        <f t="shared" ca="1" si="149"/>
        <v>13.297749110320284</v>
      </c>
      <c r="P330" s="90">
        <f t="shared" ca="1" si="150"/>
        <v>26.595498220640568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337200</v>
      </c>
      <c r="M331" s="495">
        <f t="shared" ca="1" si="152"/>
        <v>168600</v>
      </c>
      <c r="N331" s="495">
        <f t="shared" ca="1" si="152"/>
        <v>44840.01</v>
      </c>
      <c r="O331" s="495">
        <f t="shared" ca="1" si="149"/>
        <v>13.297749110320284</v>
      </c>
      <c r="P331" s="495">
        <f t="shared" ca="1" si="150"/>
        <v>26.595498220640568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IFERROR(__xludf.DUMMYFUNCTION("IMPORTRANGE(""https://docs.google.com/spreadsheets/d/1MeEWN-I1oV_STSDYn1IFDPWt_1FKiwhDph83XaGc0o0/edit?usp=sharing"",""งบพรบ!EM61"")"),337200)</f>
        <v>337200</v>
      </c>
      <c r="M333" s="90">
        <f ca="1">IFERROR(__xludf.DUMMYFUNCTION("IMPORTRANGE(""https://docs.google.com/spreadsheets/d/1MeEWN-I1oV_STSDYn1IFDPWt_1FKiwhDph83XaGc0o0/edit?usp=sharing"",""งบพรบ!ER61"")"),168600)</f>
        <v>168600</v>
      </c>
      <c r="N333" s="90">
        <f ca="1">IFERROR(__xludf.DUMMYFUNCTION("IMPORTRANGE(""https://docs.google.com/spreadsheets/d/1MeEWN-I1oV_STSDYn1IFDPWt_1FKiwhDph83XaGc0o0/edit?usp=sharing"",""งบพรบ!ET61"")"),44840.01)</f>
        <v>44840.01</v>
      </c>
      <c r="O333" s="90">
        <f t="shared" ca="1" si="149"/>
        <v>13.297749110320284</v>
      </c>
      <c r="P333" s="90">
        <f t="shared" ca="1" si="150"/>
        <v>26.595498220640568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IFERROR(__xludf.DUMMYFUNCTION("IMPORTRANGE(""https://docs.google.com/spreadsheets/d/1MeEWN-I1oV_STSDYn1IFDPWt_1FKiwhDph83XaGc0o0/edit?usp=sharing"",""งบพรบ!EP61"")"),0)</f>
        <v>0</v>
      </c>
      <c r="M336" s="90">
        <f ca="1">IFERROR(__xludf.DUMMYFUNCTION("IMPORTRANGE(""https://docs.google.com/spreadsheets/d/1MeEWN-I1oV_STSDYn1IFDPWt_1FKiwhDph83XaGc0o0/edit?usp=sharing"",""งบพรบ!ES61"")"),0)</f>
        <v>0</v>
      </c>
      <c r="N336" s="90">
        <f ca="1">IFERROR(__xludf.DUMMYFUNCTION("IMPORTRANGE(""https://docs.google.com/spreadsheets/d/1MeEWN-I1oV_STSDYn1IFDPWt_1FKiwhDph83XaGc0o0/edit?usp=sharing"",""งบพรบ!EU61"")"),0)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IFERROR(__xludf.DUMMYFUNCTION("IMPORTRANGE(""https://docs.google.com/spreadsheets/d/1QqKyyYR6Q21VydFLVH3TRQUabQu_ym0Zz7PgGX0-kHA/edit?usp=sharing"",""แผน!EG61"")"),1400)</f>
        <v>1400</v>
      </c>
      <c r="J338" s="264">
        <f ca="1">IFERROR(__xludf.DUMMYFUNCTION("IMPORTRANGE(""https://docs.google.com/spreadsheets/d/1kVcqe37tkHyjCSG3S0O1AXqVkqjo8mSIZil3BcpIysc/edit?usp=sharing"",""ศูนย์!D61"")"),126)</f>
        <v>126</v>
      </c>
      <c r="K338" s="495">
        <f ca="1">IF(I338&gt;0,J338*100/I338,0)</f>
        <v>9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IFERROR(__xludf.DUMMYFUNCTION("IMPORTRANGE(""https://docs.google.com/spreadsheets/d/1QqKyyYR6Q21VydFLVH3TRQUabQu_ym0Zz7PgGX0-kHA/edit?usp=sharing"",""แผน!EH61"")"),2)</f>
        <v>2</v>
      </c>
      <c r="J340" s="264">
        <f ca="1">IFERROR(__xludf.DUMMYFUNCTION("IMPORTRANGE(""https://docs.google.com/spreadsheets/d/1kVcqe37tkHyjCSG3S0O1AXqVkqjo8mSIZil3BcpIysc/edit?usp=sharing"",""ศูนย์!E61"")"),0)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IFERROR(__xludf.DUMMYFUNCTION("IMPORTRANGE(""https://docs.google.com/spreadsheets/d/1kVcqe37tkHyjCSG3S0O1AXqVkqjo8mSIZil3BcpIysc/edit?usp=sharing"",""ศูนย์!F61"")"),0)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IFERROR(__xludf.DUMMYFUNCTION("IMPORTRANGE(""https://docs.google.com/spreadsheets/d/1kVcqe37tkHyjCSG3S0O1AXqVkqjo8mSIZil3BcpIysc/edit?usp=sharing"",""ศูนย์!G61"")"),0)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IFERROR(__xludf.DUMMYFUNCTION("IMPORTRANGE(""https://docs.google.com/spreadsheets/d/1kVcqe37tkHyjCSG3S0O1AXqVkqjo8mSIZil3BcpIysc/edit?usp=sharing"",""ศูนย์!H61"")"),0)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306980</v>
      </c>
      <c r="M345" s="151">
        <f t="shared" ca="1" si="154"/>
        <v>210390</v>
      </c>
      <c r="N345" s="151">
        <f t="shared" ca="1" si="154"/>
        <v>127733.33</v>
      </c>
      <c r="O345" s="151">
        <f t="shared" ref="O345:O353" ca="1" si="155">IF(L345&gt;0,N345*100/L345,0)</f>
        <v>41.609658609681411</v>
      </c>
      <c r="P345" s="151">
        <f t="shared" ref="P345:P353" ca="1" si="156">IF(M345&gt;0,N345*100/M345,0)</f>
        <v>60.712643186463232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306980</v>
      </c>
      <c r="M347" s="90">
        <f t="shared" ca="1" si="157"/>
        <v>210390</v>
      </c>
      <c r="N347" s="90">
        <f t="shared" ca="1" si="157"/>
        <v>127733.33</v>
      </c>
      <c r="O347" s="90">
        <f t="shared" ca="1" si="155"/>
        <v>41.609658609681411</v>
      </c>
      <c r="P347" s="90">
        <f t="shared" ca="1" si="156"/>
        <v>60.712643186463232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193180</v>
      </c>
      <c r="M348" s="495">
        <f t="shared" ca="1" si="158"/>
        <v>96590</v>
      </c>
      <c r="N348" s="495">
        <f t="shared" ca="1" si="158"/>
        <v>13933.33</v>
      </c>
      <c r="O348" s="495">
        <f t="shared" ca="1" si="155"/>
        <v>7.2126151775546123</v>
      </c>
      <c r="P348" s="495">
        <f t="shared" ca="1" si="156"/>
        <v>14.425230355109225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IFERROR(__xludf.DUMMYFUNCTION("IMPORTRANGE(""https://docs.google.com/spreadsheets/d/1MeEWN-I1oV_STSDYn1IFDPWt_1FKiwhDph83XaGc0o0/edit?usp=sharing"",""งบพรบ!EW61"")"),193180)</f>
        <v>193180</v>
      </c>
      <c r="M350" s="90">
        <f ca="1">IFERROR(__xludf.DUMMYFUNCTION("IMPORTRANGE(""https://docs.google.com/spreadsheets/d/1MeEWN-I1oV_STSDYn1IFDPWt_1FKiwhDph83XaGc0o0/edit?usp=sharing"",""งบพรบ!FB61"")"),96590)</f>
        <v>96590</v>
      </c>
      <c r="N350" s="90">
        <f ca="1">IFERROR(__xludf.DUMMYFUNCTION("IMPORTRANGE(""https://docs.google.com/spreadsheets/d/1MeEWN-I1oV_STSDYn1IFDPWt_1FKiwhDph83XaGc0o0/edit?usp=sharing"",""งบพรบ!FD61"")"),13933.33)</f>
        <v>13933.33</v>
      </c>
      <c r="O350" s="90">
        <f t="shared" ca="1" si="155"/>
        <v>7.2126151775546123</v>
      </c>
      <c r="P350" s="90">
        <f t="shared" ca="1" si="156"/>
        <v>14.425230355109225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113800</v>
      </c>
      <c r="M351" s="495">
        <f t="shared" ca="1" si="159"/>
        <v>113800</v>
      </c>
      <c r="N351" s="495">
        <f t="shared" ca="1" si="159"/>
        <v>113800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IFERROR(__xludf.DUMMYFUNCTION("IMPORTRANGE(""https://docs.google.com/spreadsheets/d/1MeEWN-I1oV_STSDYn1IFDPWt_1FKiwhDph83XaGc0o0/edit?usp=sharing"",""งบพรบ!EZ61"")"),113800)</f>
        <v>113800</v>
      </c>
      <c r="M353" s="90">
        <f ca="1">IFERROR(__xludf.DUMMYFUNCTION("IMPORTRANGE(""https://docs.google.com/spreadsheets/d/1MeEWN-I1oV_STSDYn1IFDPWt_1FKiwhDph83XaGc0o0/edit?usp=sharing"",""งบพรบ!FC61"")"),113800)</f>
        <v>113800</v>
      </c>
      <c r="N353" s="90">
        <f ca="1">IFERROR(__xludf.DUMMYFUNCTION("IMPORTRANGE(""https://docs.google.com/spreadsheets/d/1MeEWN-I1oV_STSDYn1IFDPWt_1FKiwhDph83XaGc0o0/edit?usp=sharing"",""งบพรบ!FE61"")"),113800)</f>
        <v>113800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 hidden="1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IFERROR(__xludf.DUMMYFUNCTION("IMPORTRANGE(""https://docs.google.com/spreadsheets/d/1QqKyyYR6Q21VydFLVH3TRQUabQu_ym0Zz7PgGX0-kHA/edit?usp=sharing"",""แผน!EP61"")"),0)</f>
        <v>0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 hidden="1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 hidden="1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 hidden="1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IFERROR(__xludf.DUMMYFUNCTION("IMPORTRANGE(""https://docs.google.com/spreadsheets/d/1XWAQStnk-4SwqDmLtmXYiTMKHgktTP8We1SCoS47DrQ/edit?usp=sharing"",""จัดที่ดิน!W61"")"),0)</f>
        <v>0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 hidden="1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IFERROR(__xludf.DUMMYFUNCTION("IMPORTRANGE(""https://docs.google.com/spreadsheets/d/1QqKyyYR6Q21VydFLVH3TRQUabQu_ym0Zz7PgGX0-kHA/edit?usp=sharing"",""แผน!EO61"")"),0)</f>
        <v>0</v>
      </c>
      <c r="J359" s="264">
        <f ca="1">IFERROR(__xludf.DUMMYFUNCTION("IMPORTRANGE(""https://docs.google.com/spreadsheets/d/1XWAQStnk-4SwqDmLtmXYiTMKHgktTP8We1SCoS47DrQ/edit?usp=sharing"",""จัดที่ดิน!X61"")"),0)</f>
        <v>0</v>
      </c>
      <c r="K359" s="495">
        <f t="shared" ca="1" si="160"/>
        <v>0</v>
      </c>
      <c r="L359" s="159"/>
      <c r="M359" s="159"/>
      <c r="N359" s="159"/>
      <c r="O359" s="159"/>
      <c r="P359" s="159"/>
    </row>
    <row r="360" spans="1:26" ht="18.75" hidden="1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IFERROR(__xludf.DUMMYFUNCTION("IMPORTRANGE(""https://docs.google.com/spreadsheets/d/1QqKyyYR6Q21VydFLVH3TRQUabQu_ym0Zz7PgGX0-kHA/edit?usp=sharing"",""แผน!EP61"")"),0)</f>
        <v>0</v>
      </c>
      <c r="J360" s="264">
        <f ca="1">IFERROR(__xludf.DUMMYFUNCTION("IMPORTRANGE(""https://docs.google.com/spreadsheets/d/1XWAQStnk-4SwqDmLtmXYiTMKHgktTP8We1SCoS47DrQ/edit?usp=sharing"",""จัดที่ดิน!Y61"")"),0)</f>
        <v>0</v>
      </c>
      <c r="K360" s="495">
        <f t="shared" ca="1" si="160"/>
        <v>0</v>
      </c>
      <c r="L360" s="159"/>
      <c r="M360" s="159"/>
      <c r="N360" s="159"/>
      <c r="O360" s="159"/>
      <c r="P360" s="159"/>
    </row>
    <row r="361" spans="1:26" ht="18.75" hidden="1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IFERROR(__xludf.DUMMYFUNCTION("IMPORTRANGE(""https://docs.google.com/spreadsheets/d/1XWAQStnk-4SwqDmLtmXYiTMKHgktTP8We1SCoS47DrQ/edit?usp=sharing"",""จัดที่ดิน!Z61"")"),0)</f>
        <v>0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 hidden="1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IFERROR(__xludf.DUMMYFUNCTION("IMPORTRANGE(""https://docs.google.com/spreadsheets/d/1QqKyyYR6Q21VydFLVH3TRQUabQu_ym0Zz7PgGX0-kHA/edit?usp=sharing"",""แผน!EP61"")"),0)</f>
        <v>0</v>
      </c>
      <c r="J362" s="264">
        <f ca="1">IFERROR(__xludf.DUMMYFUNCTION("IMPORTRANGE(""https://docs.google.com/spreadsheets/d/1XWAQStnk-4SwqDmLtmXYiTMKHgktTP8We1SCoS47DrQ/edit?usp=sharing"",""จัดที่ดิน!AA61"")"),0)</f>
        <v>0</v>
      </c>
      <c r="K362" s="495">
        <f t="shared" ca="1" si="160"/>
        <v>0</v>
      </c>
      <c r="L362" s="159"/>
      <c r="M362" s="159"/>
      <c r="N362" s="159"/>
      <c r="O362" s="159"/>
      <c r="P362" s="159"/>
    </row>
    <row r="363" spans="1:26" ht="18.75" hidden="1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IFERROR(__xludf.DUMMYFUNCTION("IMPORTRANGE(""https://docs.google.com/spreadsheets/d/1XWAQStnk-4SwqDmLtmXYiTMKHgktTP8We1SCoS47DrQ/edit?usp=sharing"",""จัดที่ดิน!AB61"")"),0)</f>
        <v>0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 hidden="1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0</v>
      </c>
      <c r="J364" s="476">
        <f t="shared" ca="1" si="161"/>
        <v>0</v>
      </c>
      <c r="K364" s="477">
        <f t="shared" ca="1" si="160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 hidden="1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IFERROR(__xludf.DUMMYFUNCTION("IMPORTRANGE(""https://docs.google.com/spreadsheets/d/1QqKyyYR6Q21VydFLVH3TRQUabQu_ym0Zz7PgGX0-kHA/edit?usp=sharing"",""แผน!EJ61"")"),0)</f>
        <v>0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 hidden="1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 hidden="1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 hidden="1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IFERROR(__xludf.DUMMYFUNCTION("IMPORTRANGE(""https://docs.google.com/spreadsheets/d/1XWAQStnk-4SwqDmLtmXYiTMKHgktTP8We1SCoS47DrQ/edit?usp=sharing"",""จัดที่ดิน!E61"")"),0)</f>
        <v>0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 hidden="1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IFERROR(__xludf.DUMMYFUNCTION("IMPORTRANGE(""https://docs.google.com/spreadsheets/d/1QqKyyYR6Q21VydFLVH3TRQUabQu_ym0Zz7PgGX0-kHA/edit?usp=sharing"",""แผน!EI61"")"),0)</f>
        <v>0</v>
      </c>
      <c r="J369" s="264">
        <f ca="1">IFERROR(__xludf.DUMMYFUNCTION("IMPORTRANGE(""https://docs.google.com/spreadsheets/d/1XWAQStnk-4SwqDmLtmXYiTMKHgktTP8We1SCoS47DrQ/edit?usp=sharing"",""จัดที่ดิน!F61"")"),0)</f>
        <v>0</v>
      </c>
      <c r="K369" s="495">
        <f t="shared" ca="1" si="162"/>
        <v>0</v>
      </c>
      <c r="L369" s="159"/>
      <c r="M369" s="159"/>
      <c r="N369" s="159"/>
      <c r="O369" s="159"/>
      <c r="P369" s="159"/>
    </row>
    <row r="370" spans="1:26" ht="18.75" hidden="1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IFERROR(__xludf.DUMMYFUNCTION("IMPORTRANGE(""https://docs.google.com/spreadsheets/d/1QqKyyYR6Q21VydFLVH3TRQUabQu_ym0Zz7PgGX0-kHA/edit?usp=sharing"",""แผน!EJ61"")"),0)</f>
        <v>0</v>
      </c>
      <c r="J370" s="264">
        <f ca="1">IFERROR(__xludf.DUMMYFUNCTION("IMPORTRANGE(""https://docs.google.com/spreadsheets/d/1XWAQStnk-4SwqDmLtmXYiTMKHgktTP8We1SCoS47DrQ/edit?usp=sharing"",""จัดที่ดิน!G61"")"),0)</f>
        <v>0</v>
      </c>
      <c r="K370" s="495">
        <f t="shared" ca="1" si="162"/>
        <v>0</v>
      </c>
      <c r="L370" s="159"/>
      <c r="M370" s="159"/>
      <c r="N370" s="159"/>
      <c r="O370" s="159"/>
      <c r="P370" s="159"/>
    </row>
    <row r="371" spans="1:26" ht="18.75" hidden="1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IFERROR(__xludf.DUMMYFUNCTION("IMPORTRANGE(""https://docs.google.com/spreadsheets/d/1XWAQStnk-4SwqDmLtmXYiTMKHgktTP8We1SCoS47DrQ/edit?usp=sharing"",""จัดที่ดิน!H61"")"),0)</f>
        <v>0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 hidden="1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IFERROR(__xludf.DUMMYFUNCTION("IMPORTRANGE(""https://docs.google.com/spreadsheets/d/1QqKyyYR6Q21VydFLVH3TRQUabQu_ym0Zz7PgGX0-kHA/edit?usp=sharing"",""แผน!EJ61"")"),0)</f>
        <v>0</v>
      </c>
      <c r="J372" s="264">
        <f ca="1">IFERROR(__xludf.DUMMYFUNCTION("IMPORTRANGE(""https://docs.google.com/spreadsheets/d/1XWAQStnk-4SwqDmLtmXYiTMKHgktTP8We1SCoS47DrQ/edit?usp=sharing"",""จัดที่ดิน!I61"")"),0)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 hidden="1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IFERROR(__xludf.DUMMYFUNCTION("IMPORTRANGE(""https://docs.google.com/spreadsheets/d/1XWAQStnk-4SwqDmLtmXYiTMKHgktTP8We1SCoS47DrQ/edit?usp=sharing"",""จัดที่ดิน!J61"")"),0)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 hidden="1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IFERROR(__xludf.DUMMYFUNCTION("IMPORTRANGE(""https://docs.google.com/spreadsheets/d/1QqKyyYR6Q21VydFLVH3TRQUabQu_ym0Zz7PgGX0-kHA/edit?usp=sharing"",""แผน!EU61"")"),0)</f>
        <v>0</v>
      </c>
      <c r="J374" s="488">
        <f ca="1">J381</f>
        <v>0</v>
      </c>
      <c r="K374" s="489">
        <f t="shared" ca="1" si="162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 hidden="1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 hidden="1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 hidden="1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IFERROR(__xludf.DUMMYFUNCTION("IMPORTRANGE(""https://docs.google.com/spreadsheets/d/1XWAQStnk-4SwqDmLtmXYiTMKHgktTP8We1SCoS47DrQ/edit?usp=sharing"",""จัดที่ดิน!AH61"")"),0)</f>
        <v>0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 hidden="1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IFERROR(__xludf.DUMMYFUNCTION("IMPORTRANGE(""https://docs.google.com/spreadsheets/d/1QqKyyYR6Q21VydFLVH3TRQUabQu_ym0Zz7PgGX0-kHA/edit?usp=sharing"",""แผน!ET61"")"),0)</f>
        <v>0</v>
      </c>
      <c r="J378" s="264">
        <f ca="1">IFERROR(__xludf.DUMMYFUNCTION("IMPORTRANGE(""https://docs.google.com/spreadsheets/d/1XWAQStnk-4SwqDmLtmXYiTMKHgktTP8We1SCoS47DrQ/edit?usp=sharing"",""จัดที่ดิน!AI61"")"),0)</f>
        <v>0</v>
      </c>
      <c r="K378" s="495">
        <f t="shared" ca="1" si="163"/>
        <v>0</v>
      </c>
      <c r="L378" s="159"/>
      <c r="M378" s="159"/>
      <c r="N378" s="159"/>
      <c r="O378" s="159"/>
      <c r="P378" s="159"/>
    </row>
    <row r="379" spans="1:26" ht="18.75" hidden="1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IFERROR(__xludf.DUMMYFUNCTION("IMPORTRANGE(""https://docs.google.com/spreadsheets/d/1QqKyyYR6Q21VydFLVH3TRQUabQu_ym0Zz7PgGX0-kHA/edit?usp=sharing"",""แผน!EU61"")"),0)</f>
        <v>0</v>
      </c>
      <c r="J379" s="264">
        <f ca="1">IFERROR(__xludf.DUMMYFUNCTION("IMPORTRANGE(""https://docs.google.com/spreadsheets/d/1XWAQStnk-4SwqDmLtmXYiTMKHgktTP8We1SCoS47DrQ/edit?usp=sharing"",""จัดที่ดิน!AJ61"")"),0)</f>
        <v>0</v>
      </c>
      <c r="K379" s="495">
        <f t="shared" ca="1" si="163"/>
        <v>0</v>
      </c>
      <c r="L379" s="159"/>
      <c r="M379" s="159"/>
      <c r="N379" s="159"/>
      <c r="O379" s="159"/>
      <c r="P379" s="159"/>
    </row>
    <row r="380" spans="1:26" ht="18.75" hidden="1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IFERROR(__xludf.DUMMYFUNCTION("IMPORTRANGE(""https://docs.google.com/spreadsheets/d/1XWAQStnk-4SwqDmLtmXYiTMKHgktTP8We1SCoS47DrQ/edit?usp=sharing"",""จัดที่ดิน!AK61"")"),0)</f>
        <v>0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 hidden="1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IFERROR(__xludf.DUMMYFUNCTION("IMPORTRANGE(""https://docs.google.com/spreadsheets/d/1QqKyyYR6Q21VydFLVH3TRQUabQu_ym0Zz7PgGX0-kHA/edit?usp=sharing"",""แผน!EU61"")"),0)</f>
        <v>0</v>
      </c>
      <c r="J381" s="264">
        <f ca="1">IFERROR(__xludf.DUMMYFUNCTION("IMPORTRANGE(""https://docs.google.com/spreadsheets/d/1XWAQStnk-4SwqDmLtmXYiTMKHgktTP8We1SCoS47DrQ/edit?usp=sharing"",""จัดที่ดิน!AL61"")"),0)</f>
        <v>0</v>
      </c>
      <c r="K381" s="495">
        <f t="shared" ca="1" si="163"/>
        <v>0</v>
      </c>
      <c r="L381" s="159"/>
      <c r="M381" s="159"/>
      <c r="N381" s="159"/>
      <c r="O381" s="159"/>
      <c r="P381" s="159"/>
    </row>
    <row r="382" spans="1:26" ht="18.75" hidden="1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IFERROR(__xludf.DUMMYFUNCTION("IMPORTRANGE(""https://docs.google.com/spreadsheets/d/1XWAQStnk-4SwqDmLtmXYiTMKHgktTP8We1SCoS47DrQ/edit?usp=sharing"",""จัดที่ดิน!AM61"")"),0)</f>
        <v>0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 hidden="1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 hidden="1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 hidden="1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IFERROR(__xludf.DUMMYFUNCTION("IMPORTRANGE(""https://docs.google.com/spreadsheets/d/1QqKyyYR6Q21VydFLVH3TRQUabQu_ym0Zz7PgGX0-kHA/edit?usp=sharing"",""แผน!EW61"")"),0)</f>
        <v>0</v>
      </c>
      <c r="J385" s="498">
        <f ca="1">IFERROR(__xludf.DUMMYFUNCTION("IMPORTRANGE(""https://docs.google.com/spreadsheets/d/1XWAQStnk-4SwqDmLtmXYiTMKHgktTP8We1SCoS47DrQ/edit?usp=sharing"",""จัดที่ดิน!AP61"")"),0)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IFERROR(__xludf.DUMMYFUNCTION("IMPORTRANGE(""https://docs.google.com/spreadsheets/d/1MeEWN-I1oV_STSDYn1IFDPWt_1FKiwhDph83XaGc0o0/edit?usp=sharing"",""งบพรบ!FG61"")"),0)</f>
        <v>0</v>
      </c>
      <c r="M394" s="90">
        <f ca="1">IFERROR(__xludf.DUMMYFUNCTION("IMPORTRANGE(""https://docs.google.com/spreadsheets/d/1MeEWN-I1oV_STSDYn1IFDPWt_1FKiwhDph83XaGc0o0/edit?usp=sharing"",""งบพรบ!FL61"")"),0)</f>
        <v>0</v>
      </c>
      <c r="N394" s="90">
        <f ca="1">IFERROR(__xludf.DUMMYFUNCTION("IMPORTRANGE(""https://docs.google.com/spreadsheets/d/1MeEWN-I1oV_STSDYn1IFDPWt_1FKiwhDph83XaGc0o0/edit?usp=sharing"",""งบพรบ!FN61"")"),0)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IFERROR(__xludf.DUMMYFUNCTION("IMPORTRANGE(""https://docs.google.com/spreadsheets/d/1MeEWN-I1oV_STSDYn1IFDPWt_1FKiwhDph83XaGc0o0/edit?usp=sharing"",""งบพรบ!FJ61"")"),0)</f>
        <v>0</v>
      </c>
      <c r="M397" s="90">
        <f ca="1">IFERROR(__xludf.DUMMYFUNCTION("IMPORTRANGE(""https://docs.google.com/spreadsheets/d/1MeEWN-I1oV_STSDYn1IFDPWt_1FKiwhDph83XaGc0o0/edit?usp=sharing"",""งบพรบ!FM61"")"),0)</f>
        <v>0</v>
      </c>
      <c r="N397" s="90">
        <f ca="1">IFERROR(__xludf.DUMMYFUNCTION("IMPORTRANGE(""https://docs.google.com/spreadsheets/d/1MeEWN-I1oV_STSDYn1IFDPWt_1FKiwhDph83XaGc0o0/edit?usp=sharing"",""งบพรบ!FO61"")"),0)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IFERROR(__xludf.DUMMYFUNCTION("IMPORTRANGE(""https://docs.google.com/spreadsheets/d/1MeEWN-I1oV_STSDYn1IFDPWt_1FKiwhDph83XaGc0o0/edit?usp=sharing"",""งบพรบ!FQ61"")"),0)</f>
        <v>0</v>
      </c>
      <c r="M407" s="90">
        <f ca="1">IFERROR(__xludf.DUMMYFUNCTION("IMPORTRANGE(""https://docs.google.com/spreadsheets/d/1MeEWN-I1oV_STSDYn1IFDPWt_1FKiwhDph83XaGc0o0/edit?usp=sharing"",""งบพรบ!FV61"")"),0)</f>
        <v>0</v>
      </c>
      <c r="N407" s="90">
        <f ca="1">IFERROR(__xludf.DUMMYFUNCTION("IMPORTRANGE(""https://docs.google.com/spreadsheets/d/1MeEWN-I1oV_STSDYn1IFDPWt_1FKiwhDph83XaGc0o0/edit?usp=sharing"",""งบพรบ!FX61"")"),0)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IFERROR(__xludf.DUMMYFUNCTION("IMPORTRANGE(""https://docs.google.com/spreadsheets/d/1MeEWN-I1oV_STSDYn1IFDPWt_1FKiwhDph83XaGc0o0/edit?usp=sharing"",""งบพรบ!FT61"")"),0)</f>
        <v>0</v>
      </c>
      <c r="M410" s="90">
        <f ca="1">IFERROR(__xludf.DUMMYFUNCTION("IMPORTRANGE(""https://docs.google.com/spreadsheets/d/1MeEWN-I1oV_STSDYn1IFDPWt_1FKiwhDph83XaGc0o0/edit?usp=sharing"",""งบพรบ!FW61"")"),0)</f>
        <v>0</v>
      </c>
      <c r="N410" s="90">
        <f ca="1">IFERROR(__xludf.DUMMYFUNCTION("IMPORTRANGE(""https://docs.google.com/spreadsheets/d/1MeEWN-I1oV_STSDYn1IFDPWt_1FKiwhDph83XaGc0o0/edit?usp=sharing"",""งบพรบ!FY61"")"),0)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282670</v>
      </c>
      <c r="M414" s="546">
        <f t="shared" si="180"/>
        <v>0</v>
      </c>
      <c r="N414" s="546">
        <f t="shared" si="180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15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66560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66560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66560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IFERROR(__xludf.DUMMYFUNCTION("IMPORTRANGE(""https://docs.google.com/spreadsheets/d/1QqKyyYR6Q21VydFLVH3TRQUabQu_ym0Zz7PgGX0-kHA/edit?usp=sharing"",""แผน!EY61"")"),66560)</f>
        <v>66560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IFERROR(__xludf.DUMMYFUNCTION("IMPORTRANGE(""https://docs.google.com/spreadsheets/d/1QqKyyYR6Q21VydFLVH3TRQUabQu_ym0Zz7PgGX0-kHA/edit?usp=sharing"",""แผน!FB61"")"),0)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15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IFERROR(__xludf.DUMMYFUNCTION("IMPORTRANGE(""https://docs.google.com/spreadsheets/d/1QqKyyYR6Q21VydFLVH3TRQUabQu_ym0Zz7PgGX0-kHA/edit?usp=sharing"",""แผน!FC61"")"),15)</f>
        <v>15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IFERROR(__xludf.DUMMYFUNCTION("IMPORTRANGE(""https://docs.google.com/spreadsheets/d/1QqKyyYR6Q21VydFLVH3TRQUabQu_ym0Zz7PgGX0-kHA/edit?usp=sharing"",""แผน!FD61"")"),0)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IFERROR(__xludf.DUMMYFUNCTION("IMPORTRANGE(""https://docs.google.com/spreadsheets/d/1QqKyyYR6Q21VydFLVH3TRQUabQu_ym0Zz7PgGX0-kHA/edit?usp=sharing"",""แผน!FE61"")"),0)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IFERROR(__xludf.DUMMYFUNCTION("IMPORTRANGE(""https://docs.google.com/spreadsheets/d/1QqKyyYR6Q21VydFLVH3TRQUabQu_ym0Zz7PgGX0-kHA/edit?usp=sharing"",""แผน!FF61"")"),15)</f>
        <v>15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IFERROR(__xludf.DUMMYFUNCTION("IMPORTRANGE(""https://docs.google.com/spreadsheets/d/1QqKyyYR6Q21VydFLVH3TRQUabQu_ym0Zz7PgGX0-kHA/edit?usp=sharing"",""แผน!FG61"")"),1)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IFERROR(__xludf.DUMMYFUNCTION("IMPORTRANGE(""https://docs.google.com/spreadsheets/d/1QqKyyYR6Q21VydFLVH3TRQUabQu_ym0Zz7PgGX0-kHA/edit?usp=sharing"",""แผน!FH61"")"),0)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10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20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70660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70660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70660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IFERROR(__xludf.DUMMYFUNCTION("IMPORTRANGE(""https://docs.google.com/spreadsheets/d/1QqKyyYR6Q21VydFLVH3TRQUabQu_ym0Zz7PgGX0-kHA/edit?usp=sharing"",""แผน!FJ61"")"),70660)</f>
        <v>70660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IFERROR(__xludf.DUMMYFUNCTION("IMPORTRANGE(""https://docs.google.com/spreadsheets/d/1QqKyyYR6Q21VydFLVH3TRQUabQu_ym0Zz7PgGX0-kHA/edit?usp=sharing"",""แผน!FM61"")"),0)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IFERROR(__xludf.DUMMYFUNCTION("IMPORTRANGE(""https://docs.google.com/spreadsheets/d/1QqKyyYR6Q21VydFLVH3TRQUabQu_ym0Zz7PgGX0-kHA/edit?usp=sharing"",""แผน!FN61"")"),10)</f>
        <v>10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IFERROR(__xludf.DUMMYFUNCTION("IMPORTRANGE(""https://docs.google.com/spreadsheets/d/1QqKyyYR6Q21VydFLVH3TRQUabQu_ym0Zz7PgGX0-kHA/edit?usp=sharing"",""แผน!FO61"")"),20)</f>
        <v>20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IFERROR(__xludf.DUMMYFUNCTION("IMPORTRANGE(""https://docs.google.com/spreadsheets/d/1QqKyyYR6Q21VydFLVH3TRQUabQu_ym0Zz7PgGX0-kHA/edit?usp=sharing"",""แผน!FO61"")"),20)</f>
        <v>20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IFERROR(__xludf.DUMMYFUNCTION("IMPORTRANGE(""https://docs.google.com/spreadsheets/d/1QqKyyYR6Q21VydFLVH3TRQUabQu_ym0Zz7PgGX0-kHA/edit?usp=sharing"",""แผน!FN61"")"),10)</f>
        <v>10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 hidden="1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IFERROR(__xludf.DUMMYFUNCTION("IMPORTRANGE(""https://docs.google.com/spreadsheets/d/1QqKyyYR6Q21VydFLVH3TRQUabQu_ym0Zz7PgGX0-kHA/edit?usp=sharing"",""แผน!FX61"")"),0)</f>
        <v>0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 hidden="1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IFERROR(__xludf.DUMMYFUNCTION("IMPORTRANGE(""https://docs.google.com/spreadsheets/d/1QqKyyYR6Q21VydFLVH3TRQUabQu_ym0Zz7PgGX0-kHA/edit?usp=sharing"",""แผน!FW61"")"),0)</f>
        <v>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 hidden="1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0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0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 hidden="1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0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IFERROR(__xludf.DUMMYFUNCTION("IMPORTRANGE(""https://docs.google.com/spreadsheets/d/1QqKyyYR6Q21VydFLVH3TRQUabQu_ym0Zz7PgGX0-kHA/edit?usp=sharing"",""แผน!FS61"")"),0)</f>
        <v>0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 hidden="1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 hidden="1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 hidden="1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 hidden="1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 hidden="1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IFERROR(__xludf.DUMMYFUNCTION("IMPORTRANGE(""https://docs.google.com/spreadsheets/d/1QqKyyYR6Q21VydFLVH3TRQUabQu_ym0Zz7PgGX0-kHA/edit?usp=sharing"",""แผน!FV61"")"),0)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 hidden="1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 hidden="1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 hidden="1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 hidden="1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IFERROR(__xludf.DUMMYFUNCTION("IMPORTRANGE(""https://docs.google.com/spreadsheets/d/1QqKyyYR6Q21VydFLVH3TRQUabQu_ym0Zz7PgGX0-kHA/edit?usp=sharing"",""แผน!FY61"")"),0)</f>
        <v>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 hidden="1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 hidden="1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IFERROR(__xludf.DUMMYFUNCTION("IMPORTRANGE(""https://docs.google.com/spreadsheets/d/1QqKyyYR6Q21VydFLVH3TRQUabQu_ym0Zz7PgGX0-kHA/edit?usp=sharing"",""แผน!FZ61"")"),0)</f>
        <v>0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 hidden="1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 hidden="1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IFERROR(__xludf.DUMMYFUNCTION("IMPORTRANGE(""https://docs.google.com/spreadsheets/d/1QqKyyYR6Q21VydFLVH3TRQUabQu_ym0Zz7PgGX0-kHA/edit?usp=sharing"",""แผน!GA61"")"),0)</f>
        <v>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 hidden="1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 hidden="1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IFERROR(__xludf.DUMMYFUNCTION("IMPORTRANGE(""https://docs.google.com/spreadsheets/d/1QqKyyYR6Q21VydFLVH3TRQUabQu_ym0Zz7PgGX0-kHA/edit?usp=sharing"",""แผน!GB61"")"),0)</f>
        <v>0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 hidden="1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 hidden="1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 hidden="1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IFERROR(__xludf.DUMMYFUNCTION("IMPORTRANGE(""https://docs.google.com/spreadsheets/d/1QqKyyYR6Q21VydFLVH3TRQUabQu_ym0Zz7PgGX0-kHA/edit?usp=sharing"",""แผน!GC61"")"),0)</f>
        <v>0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 hidden="1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 hidden="1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 hidden="1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IFERROR(__xludf.DUMMYFUNCTION("IMPORTRANGE(""https://docs.google.com/spreadsheets/d/1QqKyyYR6Q21VydFLVH3TRQUabQu_ym0Zz7PgGX0-kHA/edit?usp=sharing"",""แผน!FY61"")"),0)</f>
        <v>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 hidden="1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 hidden="1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 hidden="1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IFERROR(__xludf.DUMMYFUNCTION("IMPORTRANGE(""https://docs.google.com/spreadsheets/d/1QqKyyYR6Q21VydFLVH3TRQUabQu_ym0Zz7PgGX0-kHA/edit?usp=sharing"",""แผน!GA61"")"),0)</f>
        <v>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 hidden="1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 hidden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IFERROR(__xludf.DUMMYFUNCTION("IMPORTRANGE(""https://docs.google.com/spreadsheets/d/1QqKyyYR6Q21VydFLVH3TRQUabQu_ym0Zz7PgGX0-kHA/edit?usp=sharing"",""แผน!GQ61"")"),0)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IFERROR(__xludf.DUMMYFUNCTION("IMPORTRANGE(""https://docs.google.com/spreadsheets/d/1QqKyyYR6Q21VydFLVH3TRQUabQu_ym0Zz7PgGX0-kHA/edit?usp=sharing"",""แผน!GT61"")"),0)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IFERROR(__xludf.DUMMYFUNCTION("IMPORTRANGE(""https://docs.google.com/spreadsheets/d/1QqKyyYR6Q21VydFLVH3TRQUabQu_ym0Zz7PgGX0-kHA/edit?usp=sharing"",""แผน!GU61"")"),0)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IFERROR(__xludf.DUMMYFUNCTION("IMPORTRANGE(""https://docs.google.com/spreadsheets/d/1QqKyyYR6Q21VydFLVH3TRQUabQu_ym0Zz7PgGX0-kHA/edit?usp=sharing"",""แผน!GV61"")"),0)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IFERROR(__xludf.DUMMYFUNCTION("IMPORTRANGE(""https://docs.google.com/spreadsheets/d/1QqKyyYR6Q21VydFLVH3TRQUabQu_ym0Zz7PgGX0-kHA/edit?usp=sharing"",""แผน!GW61"")"),0)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IFERROR(__xludf.DUMMYFUNCTION("IMPORTRANGE(""https://docs.google.com/spreadsheets/d/1QqKyyYR6Q21VydFLVH3TRQUabQu_ym0Zz7PgGX0-kHA/edit?usp=sharing"",""แผน!GX61"")"),0)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IFERROR(__xludf.DUMMYFUNCTION("IMPORTRANGE(""https://docs.google.com/spreadsheets/d/1QqKyyYR6Q21VydFLVH3TRQUabQu_ym0Zz7PgGX0-kHA/edit?usp=sharing"",""แผน!GY61"")"),0)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IFERROR(__xludf.DUMMYFUNCTION("IMPORTRANGE(""https://docs.google.com/spreadsheets/d/1QqKyyYR6Q21VydFLVH3TRQUabQu_ym0Zz7PgGX0-kHA/edit?usp=sharing"",""แผน!GZ61"")"),0)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66000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66000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66000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IFERROR(__xludf.DUMMYFUNCTION("IMPORTRANGE(""https://docs.google.com/spreadsheets/d/1QqKyyYR6Q21VydFLVH3TRQUabQu_ym0Zz7PgGX0-kHA/edit?usp=sharing"",""แผน!HB61"")"),66000)</f>
        <v>66000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IFERROR(__xludf.DUMMYFUNCTION("IMPORTRANGE(""https://docs.google.com/spreadsheets/d/1QqKyyYR6Q21VydFLVH3TRQUabQu_ym0Zz7PgGX0-kHA/edit?usp=sharing"",""แผน!HF61"")"),0)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 hidden="1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IFERROR(__xludf.DUMMYFUNCTION("IMPORTRANGE(""https://docs.google.com/spreadsheets/d/1QqKyyYR6Q21VydFLVH3TRQUabQu_ym0Zz7PgGX0-kHA/edit?usp=sharing"",""แผน!HH61"")"),0)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IFERROR(__xludf.DUMMYFUNCTION("IMPORTRANGE(""https://docs.google.com/spreadsheets/d/1QqKyyYR6Q21VydFLVH3TRQUabQu_ym0Zz7PgGX0-kHA/edit?usp=sharing"",""แผน!HG61"")"),0)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IFERROR(__xludf.DUMMYFUNCTION("IMPORTRANGE(""https://docs.google.com/spreadsheets/d/1QqKyyYR6Q21VydFLVH3TRQUabQu_ym0Zz7PgGX0-kHA/edit?usp=sharing"",""แผน!HH61"")"),0)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IFERROR(__xludf.DUMMYFUNCTION("IMPORTRANGE(""https://docs.google.com/spreadsheets/d/1QqKyyYR6Q21VydFLVH3TRQUabQu_ym0Zz7PgGX0-kHA/edit?usp=sharing"",""แผน!HG61"")"),0)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IFERROR(__xludf.DUMMYFUNCTION("IMPORTRANGE(""https://docs.google.com/spreadsheets/d/1QqKyyYR6Q21VydFLVH3TRQUabQu_ym0Zz7PgGX0-kHA/edit?usp=sharing"",""แผน!HH61"")"),0)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IFERROR(__xludf.DUMMYFUNCTION("IMPORTRANGE(""https://docs.google.com/spreadsheets/d/1QqKyyYR6Q21VydFLVH3TRQUabQu_ym0Zz7PgGX0-kHA/edit?usp=sharing"",""แผน!HG61"")"),0)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 hidden="1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0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 hidden="1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IFERROR(__xludf.DUMMYFUNCTION("IMPORTRANGE(""https://docs.google.com/spreadsheets/d/1QqKyyYR6Q21VydFLVH3TRQUabQu_ym0Zz7PgGX0-kHA/edit?usp=sharing"",""แผน!HJ61"")"),0)</f>
        <v>0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 hidden="1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IFERROR(__xludf.DUMMYFUNCTION("IMPORTRANGE(""https://docs.google.com/spreadsheets/d/1QqKyyYR6Q21VydFLVH3TRQUabQu_ym0Zz7PgGX0-kHA/edit?usp=sharing"",""แผน!HI61"")"),0)</f>
        <v>0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 hidden="1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 hidden="1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 hidden="1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 hidden="1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 hidden="1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 hidden="1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 hidden="1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 hidden="1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 hidden="1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 hidden="1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 hidden="1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 hidden="1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 hidden="1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 hidden="1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 hidden="1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 hidden="1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IFERROR(__xludf.DUMMYFUNCTION("IMPORTRANGE(""https://docs.google.com/spreadsheets/d/1QqKyyYR6Q21VydFLVH3TRQUabQu_ym0Zz7PgGX0-kHA/edit?usp=sharing"",""แผน!HL61"")"),0)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IFERROR(__xludf.DUMMYFUNCTION("IMPORTRANGE(""https://docs.google.com/spreadsheets/d/1QqKyyYR6Q21VydFLVH3TRQUabQu_ym0Zz7PgGX0-kHA/edit?usp=sharing"",""แผน!HK61"")"),0)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0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0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0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IFERROR(__xludf.DUMMYFUNCTION("IMPORTRANGE(""https://docs.google.com/spreadsheets/d/1QqKyyYR6Q21VydFLVH3TRQUabQu_ym0Zz7PgGX0-kHA/edit?usp=sharing"",""แผน!HN61"")"),0)</f>
        <v>0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IFERROR(__xludf.DUMMYFUNCTION("IMPORTRANGE(""https://docs.google.com/spreadsheets/d/1QqKyyYR6Q21VydFLVH3TRQUabQu_ym0Zz7PgGX0-kHA/edit?usp=sharing"",""แผน!HQ61"")"),0)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IFERROR(__xludf.DUMMYFUNCTION("IMPORTRANGE(""https://docs.google.com/spreadsheets/d/1QqKyyYR6Q21VydFLVH3TRQUabQu_ym0Zz7PgGX0-kHA/edit?usp=sharing"",""แผน!HR61"")"),0)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IFERROR(__xludf.DUMMYFUNCTION("IMPORTRANGE(""https://docs.google.com/spreadsheets/d/1QqKyyYR6Q21VydFLVH3TRQUabQu_ym0Zz7PgGX0-kHA/edit?usp=sharing"",""แผน!HR61"")"),0)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IFERROR(__xludf.DUMMYFUNCTION("IMPORTRANGE(""https://docs.google.com/spreadsheets/d/1XWAQStnk-4SwqDmLtmXYiTMKHgktTP8We1SCoS47DrQ/edit?usp=sharing"",""จัดที่ดิน!AS61"")"),0)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IFERROR(__xludf.DUMMYFUNCTION("IMPORTRANGE(""https://docs.google.com/spreadsheets/d/1XWAQStnk-4SwqDmLtmXYiTMKHgktTP8We1SCoS47DrQ/edit?usp=sharing"",""จัดที่ดิน!AT61"")"),0)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IFERROR(__xludf.DUMMYFUNCTION("IMPORTRANGE(""https://docs.google.com/spreadsheets/d/1QqKyyYR6Q21VydFLVH3TRQUabQu_ym0Zz7PgGX0-kHA/edit?usp=sharing"",""แผน!HS61"")"),0)</f>
        <v>0</v>
      </c>
      <c r="J647" s="264">
        <f ca="1">IFERROR(__xludf.DUMMYFUNCTION("IMPORTRANGE(""https://docs.google.com/spreadsheets/d/1XWAQStnk-4SwqDmLtmXYiTMKHgktTP8We1SCoS47DrQ/edit?usp=sharing"",""จัดที่ดิน!AU61"")"),0)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IFERROR(__xludf.DUMMYFUNCTION("IMPORTRANGE(""https://docs.google.com/spreadsheets/d/1XWAQStnk-4SwqDmLtmXYiTMKHgktTP8We1SCoS47DrQ/edit?usp=sharing"",""จัดที่ดิน!AV61"")"),0)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IFERROR(__xludf.DUMMYFUNCTION("IMPORTRANGE(""https://docs.google.com/spreadsheets/d/1QqKyyYR6Q21VydFLVH3TRQUabQu_ym0Zz7PgGX0-kHA/edit?usp=sharing"",""แผน!HS61"")"),0)</f>
        <v>0</v>
      </c>
      <c r="J649" s="264">
        <f ca="1">IFERROR(__xludf.DUMMYFUNCTION("IMPORTRANGE(""https://docs.google.com/spreadsheets/d/1XWAQStnk-4SwqDmLtmXYiTMKHgktTP8We1SCoS47DrQ/edit?usp=sharing"",""จัดที่ดิน!AW61"")"),0)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IFERROR(__xludf.DUMMYFUNCTION("IMPORTRANGE(""https://docs.google.com/spreadsheets/d/1XWAQStnk-4SwqDmLtmXYiTMKHgktTP8We1SCoS47DrQ/edit?usp=sharing"",""จัดที่ดิน!AX61"")"),0)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IFERROR(__xludf.DUMMYFUNCTION("IMPORTRANGE(""https://docs.google.com/spreadsheets/d/1QqKyyYR6Q21VydFLVH3TRQUabQu_ym0Zz7PgGX0-kHA/edit?usp=sharing"",""แผน!HS61"")"),0)</f>
        <v>0</v>
      </c>
      <c r="J651" s="264">
        <f ca="1">IFERROR(__xludf.DUMMYFUNCTION("IMPORTRANGE(""https://docs.google.com/spreadsheets/d/1XWAQStnk-4SwqDmLtmXYiTMKHgktTP8We1SCoS47DrQ/edit?usp=sharing"",""จัดที่ดิน!AY61"")"),0)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IFERROR(__xludf.DUMMYFUNCTION("IMPORTRANGE(""https://docs.google.com/spreadsheets/d/1XWAQStnk-4SwqDmLtmXYiTMKHgktTP8We1SCoS47DrQ/edit?usp=sharing"",""จัดที่ดิน!AZ61"")"),0)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 hidden="1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 hidden="1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 hidden="1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IFERROR(__xludf.DUMMYFUNCTION("IMPORTRANGE(""https://docs.google.com/spreadsheets/d/1QqKyyYR6Q21VydFLVH3TRQUabQu_ym0Zz7PgGX0-kHA/edit?usp=sharing"",""แผน!HV61"")"),0)</f>
        <v>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 hidden="1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 hidden="1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 hidden="1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 hidden="1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 hidden="1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 hidden="1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 hidden="1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IFERROR(__xludf.DUMMYFUNCTION("IMPORTRANGE(""https://docs.google.com/spreadsheets/d/1QqKyyYR6Q21VydFLVH3TRQUabQu_ym0Zz7PgGX0-kHA/edit?usp=sharing"",""แผน!IA61"")"),0)</f>
        <v>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 hidden="1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IFERROR(__xludf.DUMMYFUNCTION("IMPORTRANGE(""https://docs.google.com/spreadsheets/d/1QqKyyYR6Q21VydFLVH3TRQUabQu_ym0Zz7PgGX0-kHA/edit?usp=sharing"",""แผน!HZ61"")"),0)</f>
        <v>0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 hidden="1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IFERROR(__xludf.DUMMYFUNCTION("IMPORTRANGE(""https://docs.google.com/spreadsheets/d/1QqKyyYR6Q21VydFLVH3TRQUabQu_ym0Zz7PgGX0-kHA/edit?usp=sharing"",""แผน!HZ61"")"),0)</f>
        <v>0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 hidden="1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 hidden="1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 hidden="1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 hidden="1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 hidden="1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 hidden="1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 hidden="1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IFERROR(__xludf.DUMMYFUNCTION("IMPORTRANGE(""https://docs.google.com/spreadsheets/d/1QqKyyYR6Q21VydFLVH3TRQUabQu_ym0Zz7PgGX0-kHA/edit?usp=sharing"",""แผน!IB61"")"),0)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 hidden="1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 hidden="1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 hidden="1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 hidden="1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 hidden="1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79450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79450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79450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IFERROR(__xludf.DUMMYFUNCTION("IMPORTRANGE(""https://docs.google.com/spreadsheets/d/1QqKyyYR6Q21VydFLVH3TRQUabQu_ym0Zz7PgGX0-kHA/edit?usp=sharing"",""แผน!HW61"")"),79450)</f>
        <v>79450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IFERROR(__xludf.DUMMYFUNCTION("IMPORTRANGE(""https://docs.google.com/spreadsheets/d/1QqKyyYR6Q21VydFLVH3TRQUabQu_ym0Zz7PgGX0-kHA/edit?usp=sharing"",""แผน!IC61"")"),0)</f>
        <v>0</v>
      </c>
      <c r="J699" s="264">
        <f ca="1">IFERROR(__xludf.DUMMYFUNCTION("IMPORTRANGE(""https://docs.google.com/spreadsheets/d/1XWAQStnk-4SwqDmLtmXYiTMKHgktTP8We1SCoS47DrQ/edit?usp=sharing"",""จัดที่ดิน!BB61"")"),0)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IFERROR(__xludf.DUMMYFUNCTION("IMPORTRANGE(""https://docs.google.com/spreadsheets/d/1QqKyyYR6Q21VydFLVH3TRQUabQu_ym0Zz7PgGX0-kHA/edit?usp=sharing"",""แผน!ID61"")"),0)</f>
        <v>0</v>
      </c>
      <c r="J700" s="264">
        <f ca="1">IFERROR(__xludf.DUMMYFUNCTION("IMPORTRANGE(""https://docs.google.com/spreadsheets/d/1XWAQStnk-4SwqDmLtmXYiTMKHgktTP8We1SCoS47DrQ/edit?usp=sharing"",""จัดที่ดิน!BD61"")"),0)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IFERROR(__xludf.DUMMYFUNCTION("IMPORTRANGE(""https://docs.google.com/spreadsheets/d/1QqKyyYR6Q21VydFLVH3TRQUabQu_ym0Zz7PgGX0-kHA/edit?usp=sharing"",""แผน!IE61"")"),300)</f>
        <v>300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IFERROR(__xludf.DUMMYFUNCTION("IMPORTRANGE(""https://docs.google.com/spreadsheets/d/1QqKyyYR6Q21VydFLVH3TRQUabQu_ym0Zz7PgGX0-kHA/edit?usp=sharing"",""แผน!IF61"")"),300)</f>
        <v>300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IFERROR(__xludf.DUMMYFUNCTION("IMPORTRANGE(""https://docs.google.com/spreadsheets/d/1QqKyyYR6Q21VydFLVH3TRQUabQu_ym0Zz7PgGX0-kHA/edit?usp=sharing"",""แผน!IG61"")"),0)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IFERROR(__xludf.DUMMYFUNCTION("IMPORTRANGE(""https://docs.google.com/spreadsheets/d/1QqKyyYR6Q21VydFLVH3TRQUabQu_ym0Zz7PgGX0-kHA/edit?usp=sharing"",""แผน!IH61"")"),535)</f>
        <v>535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IFERROR(__xludf.DUMMYFUNCTION("IMPORTRANGE(""https://docs.google.com/spreadsheets/d/1XWAQStnk-4SwqDmLtmXYiTMKHgktTP8We1SCoS47DrQ/edit?usp=sharing"",""จัดที่ดิน!BF61"")"),0)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IFERROR(__xludf.DUMMYFUNCTION("IMPORTRANGE(""https://docs.google.com/spreadsheets/d/1XWAQStnk-4SwqDmLtmXYiTMKHgktTP8We1SCoS47DrQ/edit?usp=sharing"",""จัดที่ดิน!BG61"")"),0)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IFERROR(__xludf.DUMMYFUNCTION("IMPORTRANGE(""https://docs.google.com/spreadsheets/d/1QqKyyYR6Q21VydFLVH3TRQUabQu_ym0Zz7PgGX0-kHA/edit?usp=sharing"",""แผน!II61"")"),585)</f>
        <v>585</v>
      </c>
      <c r="J720" s="264">
        <f ca="1">IFERROR(__xludf.DUMMYFUNCTION("IMPORTRANGE(""https://docs.google.com/spreadsheets/d/1XWAQStnk-4SwqDmLtmXYiTMKHgktTP8We1SCoS47DrQ/edit?usp=sharing"",""จัดที่ดิน!BH61"")"),0)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IFERROR(__xludf.DUMMYFUNCTION("IMPORTRANGE(""https://docs.google.com/spreadsheets/d/1QqKyyYR6Q21VydFLVH3TRQUabQu_ym0Zz7PgGX0-kHA/edit?usp=sharing"",""แผน!IJ61"")"),60)</f>
        <v>60</v>
      </c>
      <c r="J721" s="673">
        <f ca="1">J723+J726</f>
        <v>1</v>
      </c>
      <c r="K721" s="191">
        <f t="shared" ca="1" si="290"/>
        <v>1.6666666666666667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IFERROR(__xludf.DUMMYFUNCTION("IMPORTRANGE(""https://docs.google.com/spreadsheets/d/1QqKyyYR6Q21VydFLVH3TRQUabQu_ym0Zz7PgGX0-kHA/edit?usp=sharing"",""แผน!IK61"")"),730)</f>
        <v>730</v>
      </c>
      <c r="J722" s="673">
        <f ca="1">J725+J728</f>
        <v>23.97</v>
      </c>
      <c r="K722" s="191">
        <f t="shared" ca="1" si="290"/>
        <v>3.2835616438356166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IFERROR(__xludf.DUMMYFUNCTION("IMPORTRANGE(""https://docs.google.com/spreadsheets/d/1QqKyyYR6Q21VydFLVH3TRQUabQu_ym0Zz7PgGX0-kHA/edit?usp=sharing"",""แผน!IL61"")"),30)</f>
        <v>30</v>
      </c>
      <c r="J723" s="264">
        <f ca="1">IFERROR(__xludf.DUMMYFUNCTION("IMPORTRANGE(""https://docs.google.com/spreadsheets/d/1XWAQStnk-4SwqDmLtmXYiTMKHgktTP8We1SCoS47DrQ/edit?usp=sharing"",""จัดที่ดิน!BM61"")"),1)</f>
        <v>1</v>
      </c>
      <c r="K723" s="495">
        <f t="shared" ca="1" si="290"/>
        <v>3.3333333333333335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IFERROR(__xludf.DUMMYFUNCTION("IMPORTRANGE(""https://docs.google.com/spreadsheets/d/1XWAQStnk-4SwqDmLtmXYiTMKHgktTP8We1SCoS47DrQ/edit?usp=sharing"",""จัดที่ดิน!BN61"")"),1)</f>
        <v>1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IFERROR(__xludf.DUMMYFUNCTION("IMPORTRANGE(""https://docs.google.com/spreadsheets/d/1QqKyyYR6Q21VydFLVH3TRQUabQu_ym0Zz7PgGX0-kHA/edit?usp=sharing"",""แผน!IM61"")"),410)</f>
        <v>410</v>
      </c>
      <c r="J725" s="264">
        <f ca="1">IFERROR(__xludf.DUMMYFUNCTION("IMPORTRANGE(""https://docs.google.com/spreadsheets/d/1XWAQStnk-4SwqDmLtmXYiTMKHgktTP8We1SCoS47DrQ/edit?usp=sharing"",""จัดที่ดิน!BO61"")"),23.97)</f>
        <v>23.97</v>
      </c>
      <c r="K725" s="495">
        <f t="shared" ref="K725:K726" ca="1" si="291">IF(I725&gt;0,J725*100/I725,0)</f>
        <v>5.8463414634146345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IFERROR(__xludf.DUMMYFUNCTION("IMPORTRANGE(""https://docs.google.com/spreadsheets/d/1QqKyyYR6Q21VydFLVH3TRQUabQu_ym0Zz7PgGX0-kHA/edit?usp=sharing"",""แผน!IN61"")"),30)</f>
        <v>30</v>
      </c>
      <c r="J726" s="264">
        <f ca="1">IFERROR(__xludf.DUMMYFUNCTION("IMPORTRANGE(""https://docs.google.com/spreadsheets/d/1XWAQStnk-4SwqDmLtmXYiTMKHgktTP8We1SCoS47DrQ/edit?usp=sharing"",""จัดที่ดิน!BR61"")"),0)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IFERROR(__xludf.DUMMYFUNCTION("IMPORTRANGE(""https://docs.google.com/spreadsheets/d/1XWAQStnk-4SwqDmLtmXYiTMKHgktTP8We1SCoS47DrQ/edit?usp=sharing"",""จัดที่ดิน!BS61"")"),0)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IFERROR(__xludf.DUMMYFUNCTION("IMPORTRANGE(""https://docs.google.com/spreadsheets/d/1QqKyyYR6Q21VydFLVH3TRQUabQu_ym0Zz7PgGX0-kHA/edit?usp=sharing"",""แผน!IO61"")"),320)</f>
        <v>320</v>
      </c>
      <c r="J728" s="264">
        <f ca="1">IFERROR(__xludf.DUMMYFUNCTION("IMPORTRANGE(""https://docs.google.com/spreadsheets/d/1XWAQStnk-4SwqDmLtmXYiTMKHgktTP8We1SCoS47DrQ/edit?usp=sharing"",""จัดที่ดิน!BT61"")"),0)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IFERROR(__xludf.DUMMYFUNCTION("IMPORTRANGE(""https://docs.google.com/spreadsheets/d/1QqKyyYR6Q21VydFLVH3TRQUabQu_ym0Zz7PgGX0-kHA/edit?usp=sharing"",""แผน!IP61"")"),50)</f>
        <v>50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IFERROR(__xludf.DUMMYFUNCTION("IMPORTRANGE(""https://docs.google.com/spreadsheets/d/1QqKyyYR6Q21VydFLVH3TRQUabQu_ym0Zz7PgGX0-kHA/edit?usp=sharing"",""แผน!JJ61"")"),0)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IFERROR(__xludf.DUMMYFUNCTION("IMPORTRANGE(""https://docs.google.com/spreadsheets/d/1QqKyyYR6Q21VydFLVH3TRQUabQu_ym0Zz7PgGX0-kHA/edit?usp=sharing"",""แผน!JN61"")"),0)</f>
        <v>0</v>
      </c>
      <c r="J800" s="180">
        <f ca="1">IFERROR(__xludf.DUMMYFUNCTION("IMPORTRANGE(""https://docs.google.com/spreadsheets/d/1MaWodYyGHDf7siQLGxnXhG4mBNTNIuy296niS2xXulU/edit?usp=sharing"",""RTK!H61"")"),0)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IFERROR(__xludf.DUMMYFUNCTION("IMPORTRANGE(""https://docs.google.com/spreadsheets/d/1MaWodYyGHDf7siQLGxnXhG4mBNTNIuy296niS2xXulU/edit?usp=sharing"",""RTK!I61"")"),0)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264">
        <f ca="1">IFERROR(__xludf.DUMMYFUNCTION("IMPORTRANGE(""https://docs.google.com/spreadsheets/d/19vJNZY_5yjcGF2XGBMNZRCAIB0Kwfpjp8YEOfu-bneM/edit?usp=sharing"",""งานกองทุน!F61"")"),0)</f>
        <v>0</v>
      </c>
      <c r="K821" s="495">
        <f t="shared" ref="K821:K828" ca="1" si="334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IFERROR(__xludf.DUMMYFUNCTION("IMPORTRANGE(""https://docs.google.com/spreadsheets/d/19vJNZY_5yjcGF2XGBMNZRCAIB0Kwfpjp8YEOfu-bneM/edit?usp=sharing"",""งานกองทุน!C61"")"),32)</f>
        <v>32</v>
      </c>
      <c r="J822" s="264">
        <f ca="1">IFERROR(__xludf.DUMMYFUNCTION("IMPORTRANGE(""https://docs.google.com/spreadsheets/d/19vJNZY_5yjcGF2XGBMNZRCAIB0Kwfpjp8YEOfu-bneM/edit?usp=sharing"",""งานกองทุน!E61"")"),0)</f>
        <v>0</v>
      </c>
      <c r="K822" s="495">
        <f t="shared" ca="1" si="334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264">
        <f ca="1">IFERROR(__xludf.DUMMYFUNCTION("IMPORTRANGE(""https://docs.google.com/spreadsheets/d/19vJNZY_5yjcGF2XGBMNZRCAIB0Kwfpjp8YEOfu-bneM/edit?usp=sharing"",""งานกองทุน!K61"")"),14000.55)</f>
        <v>14000.55</v>
      </c>
      <c r="K823" s="495">
        <f t="shared" ca="1" si="334"/>
        <v>6.5859871035444435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IFERROR(__xludf.DUMMYFUNCTION("IMPORTRANGE(""https://docs.google.com/spreadsheets/d/19vJNZY_5yjcGF2XGBMNZRCAIB0Kwfpjp8YEOfu-bneM/edit?usp=sharing"",""งานกองทุน!H61"")"),8)</f>
        <v>8</v>
      </c>
      <c r="J824" s="264">
        <f ca="1">IFERROR(__xludf.DUMMYFUNCTION("IMPORTRANGE(""https://docs.google.com/spreadsheets/d/19vJNZY_5yjcGF2XGBMNZRCAIB0Kwfpjp8YEOfu-bneM/edit?usp=sharing"",""งานกองทุน!J61"")"),1)</f>
        <v>1</v>
      </c>
      <c r="K824" s="495">
        <f t="shared" ca="1" si="334"/>
        <v>12.5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IFERROR(__xludf.DUMMYFUNCTION("IMPORTRANGE(""https://docs.google.com/spreadsheets/d/19vJNZY_5yjcGF2XGBMNZRCAIB0Kwfpjp8YEOfu-bneM/edit?usp=sharing"",""งานกองทุน!N61"")"),2411129.39)</f>
        <v>2411129.39</v>
      </c>
      <c r="J825" s="264">
        <f ca="1">IFERROR(__xludf.DUMMYFUNCTION("IMPORTRANGE(""https://docs.google.com/spreadsheets/d/19vJNZY_5yjcGF2XGBMNZRCAIB0Kwfpjp8YEOfu-bneM/edit?usp=sharing"",""งานกองทุน!P61"")"),165522.32)</f>
        <v>165522.32</v>
      </c>
      <c r="K825" s="495">
        <f t="shared" ca="1" si="334"/>
        <v>6.8649289700707428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IFERROR(__xludf.DUMMYFUNCTION("IMPORTRANGE(""https://docs.google.com/spreadsheets/d/19vJNZY_5yjcGF2XGBMNZRCAIB0Kwfpjp8YEOfu-bneM/edit?usp=sharing"",""งานกองทุน!M61"")"),721)</f>
        <v>721</v>
      </c>
      <c r="J826" s="264">
        <f ca="1">IFERROR(__xludf.DUMMYFUNCTION("IMPORTRANGE(""https://docs.google.com/spreadsheets/d/19vJNZY_5yjcGF2XGBMNZRCAIB0Kwfpjp8YEOfu-bneM/edit?usp=sharing"",""งานกองทุน!O61"")"),37)</f>
        <v>37</v>
      </c>
      <c r="K826" s="495">
        <f t="shared" ca="1" si="334"/>
        <v>5.1317614424410545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IFERROR(__xludf.DUMMYFUNCTION("IMPORTRANGE(""https://docs.google.com/spreadsheets/d/19vJNZY_5yjcGF2XGBMNZRCAIB0Kwfpjp8YEOfu-bneM/edit?usp=sharing"",""งานกองทุน!S61"")"),1080000)</f>
        <v>1080000</v>
      </c>
      <c r="J827" s="264">
        <f ca="1">IFERROR(__xludf.DUMMYFUNCTION("IMPORTRANGE(""https://docs.google.com/spreadsheets/d/19vJNZY_5yjcGF2XGBMNZRCAIB0Kwfpjp8YEOfu-bneM/edit?usp=sharing"",""งานกองทุน!U61"")"),0)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IFERROR(__xludf.DUMMYFUNCTION("IMPORTRANGE(""https://docs.google.com/spreadsheets/d/19vJNZY_5yjcGF2XGBMNZRCAIB0Kwfpjp8YEOfu-bneM/edit?usp=sharing"",""งานกองทุน!R61"")"),42)</f>
        <v>42</v>
      </c>
      <c r="J828" s="498">
        <f ca="1">IFERROR(__xludf.DUMMYFUNCTION("IMPORTRANGE(""https://docs.google.com/spreadsheets/d/19vJNZY_5yjcGF2XGBMNZRCAIB0Kwfpjp8YEOfu-bneM/edit?usp=sharing"",""งานกองทุน!T61"")"),46)</f>
        <v>46</v>
      </c>
      <c r="K828" s="499">
        <f t="shared" ca="1" si="334"/>
        <v>109.52380952380952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1020C-8AE1-464E-BD50-4C8EFFD97050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3" sqref="A3:P3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346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3136745</v>
      </c>
      <c r="M8" s="21">
        <f t="shared" ca="1" si="0"/>
        <v>1127780</v>
      </c>
      <c r="N8" s="21">
        <f t="shared" ca="1" si="0"/>
        <v>613560.46</v>
      </c>
      <c r="O8" s="21">
        <f t="shared" ref="O8:O16" ca="1" si="1">IF(L8&gt;0,N8*100/L8,0)</f>
        <v>19.560418841824884</v>
      </c>
      <c r="P8" s="21">
        <f t="shared" ref="P8:P16" ca="1" si="2">IF(M8&gt;0,N8*100/M8,0)</f>
        <v>54.404268563017609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3136745</v>
      </c>
      <c r="M10" s="29">
        <f t="shared" ca="1" si="3"/>
        <v>1127780</v>
      </c>
      <c r="N10" s="29">
        <f t="shared" ca="1" si="3"/>
        <v>613560.46</v>
      </c>
      <c r="O10" s="29">
        <f t="shared" ca="1" si="1"/>
        <v>19.560418841824884</v>
      </c>
      <c r="P10" s="29">
        <f t="shared" ca="1" si="2"/>
        <v>54.404268563017609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2985145</v>
      </c>
      <c r="M11" s="495">
        <f t="shared" ca="1" si="4"/>
        <v>976180</v>
      </c>
      <c r="N11" s="495">
        <f t="shared" ca="1" si="4"/>
        <v>461960.46</v>
      </c>
      <c r="O11" s="495">
        <f t="shared" ca="1" si="1"/>
        <v>15.475310579553087</v>
      </c>
      <c r="P11" s="495">
        <f t="shared" ca="1" si="2"/>
        <v>47.323286688930317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2985145</v>
      </c>
      <c r="M13" s="90">
        <f t="shared" ca="1" si="5"/>
        <v>976180</v>
      </c>
      <c r="N13" s="90">
        <f t="shared" ca="1" si="5"/>
        <v>461960.46</v>
      </c>
      <c r="O13" s="90">
        <f t="shared" ca="1" si="1"/>
        <v>15.475310579553087</v>
      </c>
      <c r="P13" s="90">
        <f t="shared" ca="1" si="2"/>
        <v>47.323286688930317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151600</v>
      </c>
      <c r="M14" s="495">
        <f t="shared" ca="1" si="6"/>
        <v>151600</v>
      </c>
      <c r="N14" s="495">
        <f t="shared" ca="1" si="6"/>
        <v>151600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151600</v>
      </c>
      <c r="M16" s="51">
        <f t="shared" ca="1" si="7"/>
        <v>151600</v>
      </c>
      <c r="N16" s="51">
        <f t="shared" ca="1" si="7"/>
        <v>151600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2083810</v>
      </c>
      <c r="M18" s="21">
        <f t="shared" ca="1" si="8"/>
        <v>1127780</v>
      </c>
      <c r="N18" s="21">
        <f t="shared" ca="1" si="8"/>
        <v>562950.46</v>
      </c>
      <c r="O18" s="21">
        <f t="shared" ref="O18:O26" ca="1" si="9">IF(L18&gt;0,N18*100/L18,0)</f>
        <v>27.015440947111301</v>
      </c>
      <c r="P18" s="21">
        <f t="shared" ref="P18:P26" ca="1" si="10">IF(M18&gt;0,N18*100/M18,0)</f>
        <v>49.916691198638034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2083810</v>
      </c>
      <c r="M20" s="29">
        <f t="shared" ca="1" si="11"/>
        <v>1127780</v>
      </c>
      <c r="N20" s="29">
        <f t="shared" ca="1" si="11"/>
        <v>562950.46</v>
      </c>
      <c r="O20" s="29">
        <f t="shared" ca="1" si="9"/>
        <v>27.015440947111301</v>
      </c>
      <c r="P20" s="29">
        <f t="shared" ca="1" si="10"/>
        <v>49.916691198638034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1932210</v>
      </c>
      <c r="M21" s="495">
        <f t="shared" ca="1" si="12"/>
        <v>976180</v>
      </c>
      <c r="N21" s="495">
        <f t="shared" ca="1" si="12"/>
        <v>411350.46</v>
      </c>
      <c r="O21" s="495">
        <f t="shared" ca="1" si="9"/>
        <v>21.289117642492275</v>
      </c>
      <c r="P21" s="495">
        <f t="shared" ca="1" si="10"/>
        <v>42.13879202606077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1932210</v>
      </c>
      <c r="M23" s="90">
        <f t="shared" ca="1" si="13"/>
        <v>976180</v>
      </c>
      <c r="N23" s="90">
        <f t="shared" ca="1" si="13"/>
        <v>411350.46</v>
      </c>
      <c r="O23" s="90">
        <f t="shared" ca="1" si="9"/>
        <v>21.289117642492275</v>
      </c>
      <c r="P23" s="90">
        <f t="shared" ca="1" si="10"/>
        <v>42.13879202606077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151600</v>
      </c>
      <c r="M24" s="495">
        <f t="shared" ca="1" si="14"/>
        <v>151600</v>
      </c>
      <c r="N24" s="495">
        <f t="shared" ca="1" si="14"/>
        <v>151600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151600</v>
      </c>
      <c r="M26" s="51">
        <f t="shared" ca="1" si="15"/>
        <v>151600</v>
      </c>
      <c r="N26" s="51">
        <f t="shared" ca="1" si="15"/>
        <v>151600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1052935</v>
      </c>
      <c r="M28" s="21">
        <f t="shared" si="16"/>
        <v>0</v>
      </c>
      <c r="N28" s="21">
        <f t="shared" si="16"/>
        <v>50610</v>
      </c>
      <c r="O28" s="21">
        <f t="shared" ref="O28:O37" ca="1" si="17">IF(L28&gt;0,N28*100/L28,0)</f>
        <v>4.8065645077806325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1052935</v>
      </c>
      <c r="M30" s="29">
        <f t="shared" si="19"/>
        <v>0</v>
      </c>
      <c r="N30" s="29">
        <f t="shared" si="19"/>
        <v>50610</v>
      </c>
      <c r="O30" s="29">
        <f t="shared" ca="1" si="17"/>
        <v>4.8065645077806325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1052935</v>
      </c>
      <c r="M31" s="495">
        <f t="shared" si="20"/>
        <v>0</v>
      </c>
      <c r="N31" s="495">
        <f t="shared" si="20"/>
        <v>50610</v>
      </c>
      <c r="O31" s="495">
        <f t="shared" ca="1" si="17"/>
        <v>4.8065645077806325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1052935</v>
      </c>
      <c r="M33" s="90">
        <f t="shared" si="21"/>
        <v>0</v>
      </c>
      <c r="N33" s="90">
        <f t="shared" si="21"/>
        <v>50610</v>
      </c>
      <c r="O33" s="90">
        <f t="shared" ca="1" si="17"/>
        <v>4.8065645077806325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2083810</v>
      </c>
      <c r="M37" s="57">
        <f t="shared" ca="1" si="24"/>
        <v>1127780</v>
      </c>
      <c r="N37" s="57">
        <f t="shared" ca="1" si="24"/>
        <v>562950.46000000008</v>
      </c>
      <c r="O37" s="57">
        <f t="shared" ca="1" si="17"/>
        <v>27.015440947111305</v>
      </c>
      <c r="P37" s="57">
        <f t="shared" ca="1" si="18"/>
        <v>49.916691198638041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284900</v>
      </c>
      <c r="M41" s="82">
        <f t="shared" ca="1" si="25"/>
        <v>143800</v>
      </c>
      <c r="N41" s="82">
        <f t="shared" ca="1" si="25"/>
        <v>81700</v>
      </c>
      <c r="O41" s="82">
        <f t="shared" ref="O41:O49" ca="1" si="26">IF(L41&gt;0,N41*100/L41,0)</f>
        <v>28.676728676728676</v>
      </c>
      <c r="P41" s="82">
        <f t="shared" ref="P41:P49" ca="1" si="27">IF(M41&gt;0,N41*100/M41,0)</f>
        <v>56.815020862308764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284900</v>
      </c>
      <c r="M43" s="89">
        <f t="shared" ca="1" si="28"/>
        <v>143800</v>
      </c>
      <c r="N43" s="89">
        <f t="shared" ca="1" si="28"/>
        <v>81700</v>
      </c>
      <c r="O43" s="89">
        <f t="shared" ca="1" si="26"/>
        <v>28.676728676728676</v>
      </c>
      <c r="P43" s="89">
        <f t="shared" ca="1" si="27"/>
        <v>56.815020862308764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284900</v>
      </c>
      <c r="M44" s="495">
        <f t="shared" ca="1" si="29"/>
        <v>143800</v>
      </c>
      <c r="N44" s="495">
        <f t="shared" ca="1" si="29"/>
        <v>81700</v>
      </c>
      <c r="O44" s="495">
        <f t="shared" ca="1" si="26"/>
        <v>28.676728676728676</v>
      </c>
      <c r="P44" s="495">
        <f t="shared" ca="1" si="27"/>
        <v>56.815020862308764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IFERROR(__xludf.DUMMYFUNCTION("IMPORTRANGE(""https://docs.google.com/spreadsheets/d/1MeEWN-I1oV_STSDYn1IFDPWt_1FKiwhDph83XaGc0o0/edit?usp=sharing"",""งบพรบ!M62"")"),284900)</f>
        <v>284900</v>
      </c>
      <c r="M46" s="90">
        <f ca="1">IFERROR(__xludf.DUMMYFUNCTION("IMPORTRANGE(""https://docs.google.com/spreadsheets/d/1MeEWN-I1oV_STSDYn1IFDPWt_1FKiwhDph83XaGc0o0/edit?usp=sharing"",""งบพรบ!R62"")"),143800)</f>
        <v>143800</v>
      </c>
      <c r="N46" s="90">
        <f ca="1">IFERROR(__xludf.DUMMYFUNCTION("IMPORTRANGE(""https://docs.google.com/spreadsheets/d/1MeEWN-I1oV_STSDYn1IFDPWt_1FKiwhDph83XaGc0o0/edit?usp=sharing"",""งบพรบ!T62"")"),81700)</f>
        <v>81700</v>
      </c>
      <c r="O46" s="90">
        <f t="shared" ca="1" si="26"/>
        <v>28.676728676728676</v>
      </c>
      <c r="P46" s="90">
        <f t="shared" ca="1" si="27"/>
        <v>56.815020862308764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IFERROR(__xludf.DUMMYFUNCTION("IMPORTRANGE(""https://docs.google.com/spreadsheets/d/1MeEWN-I1oV_STSDYn1IFDPWt_1FKiwhDph83XaGc0o0/edit?usp=sharing"",""งบพรบ!P62"")"),0)</f>
        <v>0</v>
      </c>
      <c r="M49" s="51">
        <f ca="1">IFERROR(__xludf.DUMMYFUNCTION("IMPORTRANGE(""https://docs.google.com/spreadsheets/d/1MeEWN-I1oV_STSDYn1IFDPWt_1FKiwhDph83XaGc0o0/edit?usp=sharing"",""งบพรบ!S62"")"),0)</f>
        <v>0</v>
      </c>
      <c r="N49" s="51">
        <f ca="1">IFERROR(__xludf.DUMMYFUNCTION("IMPORTRANGE(""https://docs.google.com/spreadsheets/d/1MeEWN-I1oV_STSDYn1IFDPWt_1FKiwhDph83XaGc0o0/edit?usp=sharing"",""งบพรบ!U62"")"),0)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577900</v>
      </c>
      <c r="M53" s="112">
        <f t="shared" ca="1" si="31"/>
        <v>288950</v>
      </c>
      <c r="N53" s="112">
        <f t="shared" ca="1" si="31"/>
        <v>208291.42</v>
      </c>
      <c r="O53" s="112">
        <f t="shared" ref="O53:O61" ca="1" si="32">IF(L53&gt;0,N53*100/L53,0)</f>
        <v>36.04281363557709</v>
      </c>
      <c r="P53" s="112">
        <f t="shared" ref="P53:P61" ca="1" si="33">IF(M53&gt;0,N53*100/M53,0)</f>
        <v>72.085627271154181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577900</v>
      </c>
      <c r="M55" s="119">
        <f t="shared" ca="1" si="34"/>
        <v>288950</v>
      </c>
      <c r="N55" s="119">
        <f t="shared" ca="1" si="34"/>
        <v>208291.42</v>
      </c>
      <c r="O55" s="119">
        <f t="shared" ca="1" si="32"/>
        <v>36.04281363557709</v>
      </c>
      <c r="P55" s="119">
        <f t="shared" ca="1" si="33"/>
        <v>72.085627271154181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577900</v>
      </c>
      <c r="M56" s="495">
        <f t="shared" ca="1" si="35"/>
        <v>288950</v>
      </c>
      <c r="N56" s="495">
        <f t="shared" ca="1" si="35"/>
        <v>208291.42</v>
      </c>
      <c r="O56" s="495">
        <f t="shared" ca="1" si="32"/>
        <v>36.04281363557709</v>
      </c>
      <c r="P56" s="495">
        <f t="shared" ca="1" si="33"/>
        <v>72.085627271154181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IFERROR(__xludf.DUMMYFUNCTION("IMPORTRANGE(""https://docs.google.com/spreadsheets/d/1MeEWN-I1oV_STSDYn1IFDPWt_1FKiwhDph83XaGc0o0/edit?usp=sharing"",""งบพรบ!W62"")"),577900)</f>
        <v>577900</v>
      </c>
      <c r="M58" s="90">
        <f ca="1">IFERROR(__xludf.DUMMYFUNCTION("IMPORTRANGE(""https://docs.google.com/spreadsheets/d/1MeEWN-I1oV_STSDYn1IFDPWt_1FKiwhDph83XaGc0o0/edit?usp=sharing"",""งบพรบ!AB62"")"),288950)</f>
        <v>288950</v>
      </c>
      <c r="N58" s="90">
        <f ca="1">IFERROR(__xludf.DUMMYFUNCTION("IMPORTRANGE(""https://docs.google.com/spreadsheets/d/1MeEWN-I1oV_STSDYn1IFDPWt_1FKiwhDph83XaGc0o0/edit?usp=sharing"",""งบพรบ!AD62"")"),208291.42)</f>
        <v>208291.42</v>
      </c>
      <c r="O58" s="90">
        <f t="shared" ca="1" si="32"/>
        <v>36.04281363557709</v>
      </c>
      <c r="P58" s="90">
        <f t="shared" ca="1" si="33"/>
        <v>72.085627271154181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IFERROR(__xludf.DUMMYFUNCTION("IMPORTRANGE(""https://docs.google.com/spreadsheets/d/1MeEWN-I1oV_STSDYn1IFDPWt_1FKiwhDph83XaGc0o0/edit?usp=sharing"",""งบพรบ!Z62"")"),0)</f>
        <v>0</v>
      </c>
      <c r="M61" s="51">
        <f ca="1">IFERROR(__xludf.DUMMYFUNCTION("IMPORTRANGE(""https://docs.google.com/spreadsheets/d/1MeEWN-I1oV_STSDYn1IFDPWt_1FKiwhDph83XaGc0o0/edit?usp=sharing"",""งบพรบ!AC62"")"),0)</f>
        <v>0</v>
      </c>
      <c r="N61" s="51">
        <f ca="1">IFERROR(__xludf.DUMMYFUNCTION("IMPORTRANGE(""https://docs.google.com/spreadsheets/d/1MeEWN-I1oV_STSDYn1IFDPWt_1FKiwhDph83XaGc0o0/edit?usp=sharing"",""งบพรบ!AE62"")"),0)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IFERROR(__xludf.DUMMYFUNCTION("IMPORTRANGE(""https://docs.google.com/spreadsheets/d/1MeEWN-I1oV_STSDYn1IFDPWt_1FKiwhDph83XaGc0o0/edit?usp=sharing"",""งบพรบ!AG62"")"),0)</f>
        <v>0</v>
      </c>
      <c r="M71" s="90">
        <f ca="1">IFERROR(__xludf.DUMMYFUNCTION("IMPORTRANGE(""https://docs.google.com/spreadsheets/d/1MeEWN-I1oV_STSDYn1IFDPWt_1FKiwhDph83XaGc0o0/edit?usp=sharing"",""งบพรบ!AL62"")"),0)</f>
        <v>0</v>
      </c>
      <c r="N71" s="90">
        <f ca="1">IFERROR(__xludf.DUMMYFUNCTION("IMPORTRANGE(""https://docs.google.com/spreadsheets/d/1MeEWN-I1oV_STSDYn1IFDPWt_1FKiwhDph83XaGc0o0/edit?usp=sharing"",""งบพรบ!AN62"")"),0)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IFERROR(__xludf.DUMMYFUNCTION("IMPORTRANGE(""https://docs.google.com/spreadsheets/d/1MeEWN-I1oV_STSDYn1IFDPWt_1FKiwhDph83XaGc0o0/edit?usp=sharing"",""งบพรบ!AJ62"")"),0)</f>
        <v>0</v>
      </c>
      <c r="M74" s="90">
        <f ca="1">IFERROR(__xludf.DUMMYFUNCTION("IMPORTRANGE(""https://docs.google.com/spreadsheets/d/1MeEWN-I1oV_STSDYn1IFDPWt_1FKiwhDph83XaGc0o0/edit?usp=sharing"",""งบพรบ!AM62"")"),0)</f>
        <v>0</v>
      </c>
      <c r="N74" s="90">
        <f ca="1">IFERROR(__xludf.DUMMYFUNCTION("IMPORTRANGE(""https://docs.google.com/spreadsheets/d/1MeEWN-I1oV_STSDYn1IFDPWt_1FKiwhDph83XaGc0o0/edit?usp=sharing"",""งบพรบ!AO62"")"),0)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IFERROR(__xludf.DUMMYFUNCTION("IMPORTRANGE(""https://docs.google.com/spreadsheets/d/1QqKyyYR6Q21VydFLVH3TRQUabQu_ym0Zz7PgGX0-kHA/edit?usp=sharing"",""แผน!H62"")"),0)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IFERROR(__xludf.DUMMYFUNCTION("IMPORTRANGE(""https://docs.google.com/spreadsheets/d/1QqKyyYR6Q21VydFLVH3TRQUabQu_ym0Zz7PgGX0-kHA/edit?usp=sharing"",""แผน!I62"")"),0)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IFERROR(__xludf.DUMMYFUNCTION("IMPORTRANGE(""https://docs.google.com/spreadsheets/d/1QqKyyYR6Q21VydFLVH3TRQUabQu_ym0Zz7PgGX0-kHA/edit?usp=sharing"",""แผน!F62"")"),0)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IFERROR(__xludf.DUMMYFUNCTION("IMPORTRANGE(""https://docs.google.com/spreadsheets/d/1QqKyyYR6Q21VydFLVH3TRQUabQu_ym0Zz7PgGX0-kHA/edit?usp=sharing"",""แผน!G62"")"),0)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IFERROR(__xludf.DUMMYFUNCTION("IMPORTRANGE(""https://docs.google.com/spreadsheets/d/1QqKyyYR6Q21VydFLVH3TRQUabQu_ym0Zz7PgGX0-kHA/edit?usp=sharing"",""แผน!D62"")"),0)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IFERROR(__xludf.DUMMYFUNCTION("IMPORTRANGE(""https://docs.google.com/spreadsheets/d/1QqKyyYR6Q21VydFLVH3TRQUabQu_ym0Zz7PgGX0-kHA/edit?usp=sharing"",""แผน!E62"")"),0)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IFERROR(__xludf.DUMMYFUNCTION("IMPORTRANGE(""https://docs.google.com/spreadsheets/d/1QqKyyYR6Q21VydFLVH3TRQUabQu_ym0Zz7PgGX0-kHA/edit?usp=sharing"",""แผน!J62"")"),0)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174200</v>
      </c>
      <c r="M88" s="151">
        <f t="shared" ca="1" si="49"/>
        <v>92750</v>
      </c>
      <c r="N88" s="151">
        <f t="shared" ca="1" si="49"/>
        <v>13000</v>
      </c>
      <c r="O88" s="151">
        <f t="shared" ref="O88:O96" ca="1" si="50">IF(L88&gt;0,N88*100/L88,0)</f>
        <v>7.4626865671641793</v>
      </c>
      <c r="P88" s="151">
        <f t="shared" ref="P88:P96" ca="1" si="51">IF(M88&gt;0,N88*100/M88,0)</f>
        <v>14.016172506738544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174200</v>
      </c>
      <c r="M90" s="90">
        <f t="shared" ca="1" si="52"/>
        <v>92750</v>
      </c>
      <c r="N90" s="90">
        <f t="shared" ca="1" si="52"/>
        <v>13000</v>
      </c>
      <c r="O90" s="90">
        <f t="shared" ca="1" si="50"/>
        <v>7.4626865671641793</v>
      </c>
      <c r="P90" s="90">
        <f t="shared" ca="1" si="51"/>
        <v>14.016172506738544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174200</v>
      </c>
      <c r="M91" s="495">
        <f t="shared" ca="1" si="53"/>
        <v>92750</v>
      </c>
      <c r="N91" s="495">
        <f t="shared" ca="1" si="53"/>
        <v>13000</v>
      </c>
      <c r="O91" s="495">
        <f t="shared" ca="1" si="50"/>
        <v>7.4626865671641793</v>
      </c>
      <c r="P91" s="495">
        <f t="shared" ca="1" si="51"/>
        <v>14.016172506738544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IFERROR(__xludf.DUMMYFUNCTION("IMPORTRANGE(""https://docs.google.com/spreadsheets/d/1MeEWN-I1oV_STSDYn1IFDPWt_1FKiwhDph83XaGc0o0/edit?usp=sharing"",""งบพรบ!AQ62"")"),174200)</f>
        <v>174200</v>
      </c>
      <c r="M93" s="90">
        <f ca="1">IFERROR(__xludf.DUMMYFUNCTION("IMPORTRANGE(""https://docs.google.com/spreadsheets/d/1MeEWN-I1oV_STSDYn1IFDPWt_1FKiwhDph83XaGc0o0/edit?usp=sharing"",""งบพรบ!AV62"")"),92750)</f>
        <v>92750</v>
      </c>
      <c r="N93" s="90">
        <f ca="1">IFERROR(__xludf.DUMMYFUNCTION("IMPORTRANGE(""https://docs.google.com/spreadsheets/d/1MeEWN-I1oV_STSDYn1IFDPWt_1FKiwhDph83XaGc0o0/edit?usp=sharing"",""งบพรบ!AX62"")"),13000)</f>
        <v>13000</v>
      </c>
      <c r="O93" s="90">
        <f t="shared" ca="1" si="50"/>
        <v>7.4626865671641793</v>
      </c>
      <c r="P93" s="90">
        <f t="shared" ca="1" si="51"/>
        <v>14.016172506738544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IFERROR(__xludf.DUMMYFUNCTION("IMPORTRANGE(""https://docs.google.com/spreadsheets/d/1MeEWN-I1oV_STSDYn1IFDPWt_1FKiwhDph83XaGc0o0/edit?usp=sharing"",""งบพรบ!AT62"")"),0)</f>
        <v>0</v>
      </c>
      <c r="M96" s="90">
        <f ca="1">IFERROR(__xludf.DUMMYFUNCTION("IMPORTRANGE(""https://docs.google.com/spreadsheets/d/1MeEWN-I1oV_STSDYn1IFDPWt_1FKiwhDph83XaGc0o0/edit?usp=sharing"",""งบพรบ!AW62"")"),0)</f>
        <v>0</v>
      </c>
      <c r="N96" s="90">
        <f ca="1">IFERROR(__xludf.DUMMYFUNCTION("IMPORTRANGE(""https://docs.google.com/spreadsheets/d/1MeEWN-I1oV_STSDYn1IFDPWt_1FKiwhDph83XaGc0o0/edit?usp=sharing"",""งบพรบ!AY62"")"),0)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IFERROR(__xludf.DUMMYFUNCTION("IMPORTRANGE(""https://docs.google.com/spreadsheets/d/1QqKyyYR6Q21VydFLVH3TRQUabQu_ym0Zz7PgGX0-kHA/edit?usp=sharing"",""แผน!K62"")"),0)</f>
        <v>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IFERROR(__xludf.DUMMYFUNCTION("IMPORTRANGE(""https://docs.google.com/spreadsheets/d/1QqKyyYR6Q21VydFLVH3TRQUabQu_ym0Zz7PgGX0-kHA/edit?usp=sharing"",""แผน!L62"")"),0)</f>
        <v>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IFERROR(__xludf.DUMMYFUNCTION("IMPORTRANGE(""https://docs.google.com/spreadsheets/d/1QqKyyYR6Q21VydFLVH3TRQUabQu_ym0Zz7PgGX0-kHA/edit?usp=sharing"",""แผน!M62"")"),1)</f>
        <v>1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IFERROR(__xludf.DUMMYFUNCTION("IMPORTRANGE(""https://docs.google.com/spreadsheets/d/1QqKyyYR6Q21VydFLVH3TRQUabQu_ym0Zz7PgGX0-kHA/edit?usp=sharing"",""แผน!N62"")"),0)</f>
        <v>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IFERROR(__xludf.DUMMYFUNCTION("IMPORTRANGE(""https://docs.google.com/spreadsheets/d/1QqKyyYR6Q21VydFLVH3TRQUabQu_ym0Zz7PgGX0-kHA/edit?usp=sharing"",""แผน!O62"")"),0)</f>
        <v>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IFERROR(__xludf.DUMMYFUNCTION("IMPORTRANGE(""https://docs.google.com/spreadsheets/d/1QqKyyYR6Q21VydFLVH3TRQUabQu_ym0Zz7PgGX0-kHA/edit?usp=sharing"",""แผน!O62"")"),0)</f>
        <v>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IFERROR(__xludf.DUMMYFUNCTION("IMPORTRANGE(""https://docs.google.com/spreadsheets/d/1QqKyyYR6Q21VydFLVH3TRQUabQu_ym0Zz7PgGX0-kHA/edit?usp=sharing"",""แผน!P62"")"),0)</f>
        <v>0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IFERROR(__xludf.DUMMYFUNCTION("IMPORTRANGE(""https://docs.google.com/spreadsheets/d/1QqKyyYR6Q21VydFLVH3TRQUabQu_ym0Zz7PgGX0-kHA/edit?usp=sharing"",""แผน!P62"")"),0)</f>
        <v>0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IFERROR(__xludf.DUMMYFUNCTION("IMPORTRANGE(""https://docs.google.com/spreadsheets/d/1QqKyyYR6Q21VydFLVH3TRQUabQu_ym0Zz7PgGX0-kHA/edit?usp=sharing"",""แผน!Q62"")"),1)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IFERROR(__xludf.DUMMYFUNCTION("IMPORTRANGE(""https://docs.google.com/spreadsheets/d/1QqKyyYR6Q21VydFLVH3TRQUabQu_ym0Zz7PgGX0-kHA/edit?usp=sharing"",""แผน!Q62"")"),1)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IFERROR(__xludf.DUMMYFUNCTION("IMPORTRANGE(""https://docs.google.com/spreadsheets/d/1QqKyyYR6Q21VydFLVH3TRQUabQu_ym0Zz7PgGX0-kHA/edit?usp=sharing"",""แผน!R62"")"),0)</f>
        <v>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1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IFERROR(__xludf.DUMMYFUNCTION("IMPORTRANGE(""https://docs.google.com/spreadsheets/d/1QqKyyYR6Q21VydFLVH3TRQUabQu_ym0Zz7PgGX0-kHA/edit?usp=sharing"",""แผน!R62"")"),0)</f>
        <v>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IFERROR(__xludf.DUMMYFUNCTION("IMPORTRANGE(""https://docs.google.com/spreadsheets/d/1QqKyyYR6Q21VydFLVH3TRQUabQu_ym0Zz7PgGX0-kHA/edit?usp=sharing"",""แผน!R62"")"),0)</f>
        <v>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IFERROR(__xludf.DUMMYFUNCTION("IMPORTRANGE(""https://docs.google.com/spreadsheets/d/1QqKyyYR6Q21VydFLVH3TRQUabQu_ym0Zz7PgGX0-kHA/edit?usp=sharing"",""แผน!S62"")"),0)</f>
        <v>0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IFERROR(__xludf.DUMMYFUNCTION("IMPORTRANGE(""https://docs.google.com/spreadsheets/d/1QqKyyYR6Q21VydFLVH3TRQUabQu_ym0Zz7PgGX0-kHA/edit?usp=sharing"",""แผน!T62"")"),1)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IFERROR(__xludf.DUMMYFUNCTION("IMPORTRANGE(""https://docs.google.com/spreadsheets/d/1MeEWN-I1oV_STSDYn1IFDPWt_1FKiwhDph83XaGc0o0/edit?usp=sharing"",""งบพรบ!BA62"")"),0)</f>
        <v>0</v>
      </c>
      <c r="M124" s="90">
        <f ca="1">IFERROR(__xludf.DUMMYFUNCTION("IMPORTRANGE(""https://docs.google.com/spreadsheets/d/1MeEWN-I1oV_STSDYn1IFDPWt_1FKiwhDph83XaGc0o0/edit?usp=sharing"",""งบพรบ!BF62"")"),0)</f>
        <v>0</v>
      </c>
      <c r="N124" s="90">
        <f ca="1">IFERROR(__xludf.DUMMYFUNCTION("IMPORTRANGE(""https://docs.google.com/spreadsheets/d/1MeEWN-I1oV_STSDYn1IFDPWt_1FKiwhDph83XaGc0o0/edit?usp=sharing"",""งบพรบ!BH62"")"),0)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IFERROR(__xludf.DUMMYFUNCTION("IMPORTRANGE(""https://docs.google.com/spreadsheets/d/1MeEWN-I1oV_STSDYn1IFDPWt_1FKiwhDph83XaGc0o0/edit?usp=sharing"",""งบพรบ!BD62"")"),0)</f>
        <v>0</v>
      </c>
      <c r="M127" s="90">
        <f ca="1">IFERROR(__xludf.DUMMYFUNCTION("IMPORTRANGE(""https://docs.google.com/spreadsheets/d/1MeEWN-I1oV_STSDYn1IFDPWt_1FKiwhDph83XaGc0o0/edit?usp=sharing"",""งบพรบ!BG62"")"),0)</f>
        <v>0</v>
      </c>
      <c r="N127" s="90">
        <f ca="1">IFERROR(__xludf.DUMMYFUNCTION("IMPORTRANGE(""https://docs.google.com/spreadsheets/d/1MeEWN-I1oV_STSDYn1IFDPWt_1FKiwhDph83XaGc0o0/edit?usp=sharing"",""งบพรบ!BI62"")"),0)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IFERROR(__xludf.DUMMYFUNCTION("IMPORTRANGE(""https://docs.google.com/spreadsheets/d/1MeEWN-I1oV_STSDYn1IFDPWt_1FKiwhDph83XaGc0o0/edit?usp=sharing"",""งบพรบ!BK62"")"),0)</f>
        <v>0</v>
      </c>
      <c r="M137" s="90">
        <f ca="1">IFERROR(__xludf.DUMMYFUNCTION("IMPORTRANGE(""https://docs.google.com/spreadsheets/d/1MeEWN-I1oV_STSDYn1IFDPWt_1FKiwhDph83XaGc0o0/edit?usp=sharing"",""งบพรบ!BP62"")"),0)</f>
        <v>0</v>
      </c>
      <c r="N137" s="90">
        <f ca="1">IFERROR(__xludf.DUMMYFUNCTION("IMPORTRANGE(""https://docs.google.com/spreadsheets/d/1MeEWN-I1oV_STSDYn1IFDPWt_1FKiwhDph83XaGc0o0/edit?usp=sharing"",""งบพรบ!BR62"")"),0)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IFERROR(__xludf.DUMMYFUNCTION("IMPORTRANGE(""https://docs.google.com/spreadsheets/d/1MeEWN-I1oV_STSDYn1IFDPWt_1FKiwhDph83XaGc0o0/edit?usp=sharing"",""งบพรบ!BN62"")"),0)</f>
        <v>0</v>
      </c>
      <c r="M140" s="90">
        <f ca="1">IFERROR(__xludf.DUMMYFUNCTION("IMPORTRANGE(""https://docs.google.com/spreadsheets/d/1MeEWN-I1oV_STSDYn1IFDPWt_1FKiwhDph83XaGc0o0/edit?usp=sharing"",""งบพรบ!BQ62"")"),0)</f>
        <v>0</v>
      </c>
      <c r="N140" s="90">
        <f ca="1">IFERROR(__xludf.DUMMYFUNCTION("IMPORTRANGE(""https://docs.google.com/spreadsheets/d/1MeEWN-I1oV_STSDYn1IFDPWt_1FKiwhDph83XaGc0o0/edit?usp=sharing"",""งบพรบ!BS62"")"),0)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IFERROR(__xludf.DUMMYFUNCTION("IMPORTRANGE(""https://docs.google.com/spreadsheets/d/1QqKyyYR6Q21VydFLVH3TRQUabQu_ym0Zz7PgGX0-kHA/edit?usp=sharing"",""แผน!U62"")"),0)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IFERROR(__xludf.DUMMYFUNCTION("IMPORTRANGE(""https://docs.google.com/spreadsheets/d/1QqKyyYR6Q21VydFLVH3TRQUabQu_ym0Zz7PgGX0-kHA/edit?usp=sharing"",""แผน!V62"")"),0)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IFERROR(__xludf.DUMMYFUNCTION("IMPORTRANGE(""https://docs.google.com/spreadsheets/d/1QqKyyYR6Q21VydFLVH3TRQUabQu_ym0Zz7PgGX0-kHA/edit?usp=sharing"",""แผน!W62"")"),0)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20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10000</v>
      </c>
      <c r="M149" s="151">
        <f t="shared" ca="1" si="77"/>
        <v>10000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10000</v>
      </c>
      <c r="M151" s="90">
        <f t="shared" ca="1" si="80"/>
        <v>10000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10000</v>
      </c>
      <c r="M152" s="495">
        <f t="shared" ca="1" si="81"/>
        <v>10000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IFERROR(__xludf.DUMMYFUNCTION("IMPORTRANGE(""https://docs.google.com/spreadsheets/d/1MeEWN-I1oV_STSDYn1IFDPWt_1FKiwhDph83XaGc0o0/edit?usp=sharing"",""งบพรบ!BU62"")"),10000)</f>
        <v>10000</v>
      </c>
      <c r="M154" s="90">
        <f ca="1">IFERROR(__xludf.DUMMYFUNCTION("IMPORTRANGE(""https://docs.google.com/spreadsheets/d/1MeEWN-I1oV_STSDYn1IFDPWt_1FKiwhDph83XaGc0o0/edit?usp=sharing"",""งบพรบ!BZ62"")"),10000)</f>
        <v>10000</v>
      </c>
      <c r="N154" s="90">
        <f ca="1">IFERROR(__xludf.DUMMYFUNCTION("IMPORTRANGE(""https://docs.google.com/spreadsheets/d/1MeEWN-I1oV_STSDYn1IFDPWt_1FKiwhDph83XaGc0o0/edit?usp=sharing"",""งบพรบ!CB62"")"),0)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IFERROR(__xludf.DUMMYFUNCTION("IMPORTRANGE(""https://docs.google.com/spreadsheets/d/1MeEWN-I1oV_STSDYn1IFDPWt_1FKiwhDph83XaGc0o0/edit?usp=sharing"",""งบพรบ!BX62"")"),0)</f>
        <v>0</v>
      </c>
      <c r="M157" s="90">
        <f ca="1">IFERROR(__xludf.DUMMYFUNCTION("IMPORTRANGE(""https://docs.google.com/spreadsheets/d/1MeEWN-I1oV_STSDYn1IFDPWt_1FKiwhDph83XaGc0o0/edit?usp=sharing"",""งบพรบ!CA62"")"),0)</f>
        <v>0</v>
      </c>
      <c r="N157" s="90">
        <f ca="1">IFERROR(__xludf.DUMMYFUNCTION("IMPORTRANGE(""https://docs.google.com/spreadsheets/d/1MeEWN-I1oV_STSDYn1IFDPWt_1FKiwhDph83XaGc0o0/edit?usp=sharing"",""งบพรบ!CC62"")"),0)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IFERROR(__xludf.DUMMYFUNCTION("IMPORTRANGE(""https://docs.google.com/spreadsheets/d/1QqKyyYR6Q21VydFLVH3TRQUabQu_ym0Zz7PgGX0-kHA/edit?usp=sharing"",""แผน!X62"")"),20)</f>
        <v>20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10</v>
      </c>
      <c r="K164" s="249">
        <f ca="1">IF(I164&gt;0,J164*100/I164,0)</f>
        <v>100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18715</v>
      </c>
      <c r="O165" s="150">
        <f t="shared" ref="O165:O173" ca="1" si="85">IF(L165&gt;0,N165*100/L165,0)</f>
        <v>88.907363420427558</v>
      </c>
      <c r="P165" s="150">
        <f t="shared" ref="P165:P173" ca="1" si="86">IF(M165&gt;0,N165*100/M165,0)</f>
        <v>88.907363420427558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18715</v>
      </c>
      <c r="O167" s="90">
        <f t="shared" ca="1" si="85"/>
        <v>88.907363420427558</v>
      </c>
      <c r="P167" s="90">
        <f t="shared" ca="1" si="86"/>
        <v>88.907363420427558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18715</v>
      </c>
      <c r="O168" s="495">
        <f t="shared" ca="1" si="85"/>
        <v>88.907363420427558</v>
      </c>
      <c r="P168" s="495">
        <f t="shared" ca="1" si="86"/>
        <v>88.907363420427558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IFERROR(__xludf.DUMMYFUNCTION("IMPORTRANGE(""https://docs.google.com/spreadsheets/d/1MeEWN-I1oV_STSDYn1IFDPWt_1FKiwhDph83XaGc0o0/edit?usp=sharing"",""งบพรบ!CE62"")"),21050)</f>
        <v>21050</v>
      </c>
      <c r="M170" s="90">
        <f ca="1">IFERROR(__xludf.DUMMYFUNCTION("IMPORTRANGE(""https://docs.google.com/spreadsheets/d/1MeEWN-I1oV_STSDYn1IFDPWt_1FKiwhDph83XaGc0o0/edit?usp=sharing"",""งบพรบ!CJ62"")"),21050)</f>
        <v>21050</v>
      </c>
      <c r="N170" s="90">
        <f ca="1">IFERROR(__xludf.DUMMYFUNCTION("IMPORTRANGE(""https://docs.google.com/spreadsheets/d/1MeEWN-I1oV_STSDYn1IFDPWt_1FKiwhDph83XaGc0o0/edit?usp=sharing"",""งบพรบ!CL62"")"),18715)</f>
        <v>18715</v>
      </c>
      <c r="O170" s="90">
        <f t="shared" ca="1" si="85"/>
        <v>88.907363420427558</v>
      </c>
      <c r="P170" s="90">
        <f t="shared" ca="1" si="86"/>
        <v>88.907363420427558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IFERROR(__xludf.DUMMYFUNCTION("IMPORTRANGE(""https://docs.google.com/spreadsheets/d/1MeEWN-I1oV_STSDYn1IFDPWt_1FKiwhDph83XaGc0o0/edit?usp=sharing"",""งบพรบ!CH62"")"),0)</f>
        <v>0</v>
      </c>
      <c r="M173" s="90">
        <f ca="1">IFERROR(__xludf.DUMMYFUNCTION("IMPORTRANGE(""https://docs.google.com/spreadsheets/d/1MeEWN-I1oV_STSDYn1IFDPWt_1FKiwhDph83XaGc0o0/edit?usp=sharing"",""งบพรบ!CK62"")"),0)</f>
        <v>0</v>
      </c>
      <c r="N173" s="90">
        <f ca="1">IFERROR(__xludf.DUMMYFUNCTION("IMPORTRANGE(""https://docs.google.com/spreadsheets/d/1MeEWN-I1oV_STSDYn1IFDPWt_1FKiwhDph83XaGc0o0/edit?usp=sharing"",""งบพรบ!CM62"")"),0)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10</v>
      </c>
      <c r="K174" s="256">
        <f ca="1">IF(I174&gt;0,J174*100/I174,0)</f>
        <v>100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IFERROR(__xludf.DUMMYFUNCTION("IMPORTRANGE(""https://docs.google.com/spreadsheets/d/1QqKyyYR6Q21VydFLVH3TRQUabQu_ym0Zz7PgGX0-kHA/edit?usp=sharing"",""แผน!Y62"")"),10)</f>
        <v>10</v>
      </c>
      <c r="J176" s="210">
        <v>10</v>
      </c>
      <c r="K176" s="159">
        <f ca="1">IF(I176&gt;0,J176*100/I176,0)</f>
        <v>100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193000</v>
      </c>
      <c r="M181" s="150">
        <f t="shared" ca="1" si="91"/>
        <v>97500</v>
      </c>
      <c r="N181" s="150">
        <f t="shared" ca="1" si="91"/>
        <v>36405</v>
      </c>
      <c r="O181" s="150">
        <f t="shared" ref="O181:O189" ca="1" si="92">IF(L181&gt;0,N181*100/L181,0)</f>
        <v>18.862694300518136</v>
      </c>
      <c r="P181" s="150">
        <f t="shared" ref="P181:P189" ca="1" si="93">IF(M181&gt;0,N181*100/M181,0)</f>
        <v>37.338461538461537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193000</v>
      </c>
      <c r="M183" s="90">
        <f t="shared" ca="1" si="94"/>
        <v>97500</v>
      </c>
      <c r="N183" s="90">
        <f t="shared" ca="1" si="94"/>
        <v>36405</v>
      </c>
      <c r="O183" s="90">
        <f t="shared" ca="1" si="92"/>
        <v>18.862694300518136</v>
      </c>
      <c r="P183" s="90">
        <f t="shared" ca="1" si="93"/>
        <v>37.338461538461537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193000</v>
      </c>
      <c r="M184" s="495">
        <f t="shared" ca="1" si="95"/>
        <v>97500</v>
      </c>
      <c r="N184" s="495">
        <f t="shared" ca="1" si="95"/>
        <v>36405</v>
      </c>
      <c r="O184" s="495">
        <f t="shared" ca="1" si="92"/>
        <v>18.862694300518136</v>
      </c>
      <c r="P184" s="495">
        <f t="shared" ca="1" si="93"/>
        <v>37.338461538461537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IFERROR(__xludf.DUMMYFUNCTION("IMPORTRANGE(""https://docs.google.com/spreadsheets/d/1MeEWN-I1oV_STSDYn1IFDPWt_1FKiwhDph83XaGc0o0/edit?usp=sharing"",""งบพรบ!CO62"")"),193000)</f>
        <v>193000</v>
      </c>
      <c r="M186" s="90">
        <f ca="1">IFERROR(__xludf.DUMMYFUNCTION("IMPORTRANGE(""https://docs.google.com/spreadsheets/d/1MeEWN-I1oV_STSDYn1IFDPWt_1FKiwhDph83XaGc0o0/edit?usp=sharing"",""งบพรบ!CT62"")"),97500)</f>
        <v>97500</v>
      </c>
      <c r="N186" s="90">
        <f ca="1">IFERROR(__xludf.DUMMYFUNCTION("IMPORTRANGE(""https://docs.google.com/spreadsheets/d/1MeEWN-I1oV_STSDYn1IFDPWt_1FKiwhDph83XaGc0o0/edit?usp=sharing"",""งบพรบ!CV62"")"),36405)</f>
        <v>36405</v>
      </c>
      <c r="O186" s="90">
        <f t="shared" ca="1" si="92"/>
        <v>18.862694300518136</v>
      </c>
      <c r="P186" s="90">
        <f t="shared" ca="1" si="93"/>
        <v>37.338461538461537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IFERROR(__xludf.DUMMYFUNCTION("IMPORTRANGE(""https://docs.google.com/spreadsheets/d/1MeEWN-I1oV_STSDYn1IFDPWt_1FKiwhDph83XaGc0o0/edit?usp=sharing"",""งบพรบ!CR62"")"),0)</f>
        <v>0</v>
      </c>
      <c r="M189" s="90">
        <f ca="1">IFERROR(__xludf.DUMMYFUNCTION("IMPORTRANGE(""https://docs.google.com/spreadsheets/d/1MeEWN-I1oV_STSDYn1IFDPWt_1FKiwhDph83XaGc0o0/edit?usp=sharing"",""งบพรบ!CU62"")"),0)</f>
        <v>0</v>
      </c>
      <c r="N189" s="90">
        <f ca="1">IFERROR(__xludf.DUMMYFUNCTION("IMPORTRANGE(""https://docs.google.com/spreadsheets/d/1MeEWN-I1oV_STSDYn1IFDPWt_1FKiwhDph83XaGc0o0/edit?usp=sharing"",""งบพรบ!CW62"")"),0)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IFERROR(__xludf.DUMMYFUNCTION("IMPORTRANGE(""https://docs.google.com/spreadsheets/d/1QqKyyYR6Q21VydFLVH3TRQUabQu_ym0Zz7PgGX0-kHA/edit?usp=sharing"",""แผน!Z62"")"),6000)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IFERROR(__xludf.DUMMYFUNCTION("IMPORTRANGE(""https://docs.google.com/spreadsheets/d/1QqKyyYR6Q21VydFLVH3TRQUabQu_ym0Zz7PgGX0-kHA/edit?usp=sharing"",""แผน!AC62"")"),4)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2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26000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IFERROR(__xludf.DUMMYFUNCTION("IMPORTRANGE(""https://docs.google.com/spreadsheets/d/1QqKyyYR6Q21VydFLVH3TRQUabQu_ym0Zz7PgGX0-kHA/edit?usp=sharing"",""แผน!AE62"")"),2000)</f>
        <v>2000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IFERROR(__xludf.DUMMYFUNCTION("IMPORTRANGE(""https://docs.google.com/spreadsheets/d/1QqKyyYR6Q21VydFLVH3TRQUabQu_ym0Zz7PgGX0-kHA/edit?usp=sharing"",""แผน!AF62"")"),16000)</f>
        <v>16000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IFERROR(__xludf.DUMMYFUNCTION("IMPORTRANGE(""https://docs.google.com/spreadsheets/d/1QqKyyYR6Q21VydFLVH3TRQUabQu_ym0Zz7PgGX0-kHA/edit?usp=sharing"",""แผน!AG62"")"),8000)</f>
        <v>8000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IFERROR(__xludf.DUMMYFUNCTION("IMPORTRANGE(""https://docs.google.com/spreadsheets/d/1QqKyyYR6Q21VydFLVH3TRQUabQu_ym0Zz7PgGX0-kHA/edit?usp=sharing"",""แผน!AH62"")"),0)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IFERROR(__xludf.DUMMYFUNCTION("IMPORTRANGE(""https://docs.google.com/spreadsheets/d/1QqKyyYR6Q21VydFLVH3TRQUabQu_ym0Zz7PgGX0-kHA/edit?usp=sharing"",""แผน!AI62"")"),2)</f>
        <v>2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2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IFERROR(__xludf.DUMMYFUNCTION("IMPORTRANGE(""https://docs.google.com/spreadsheets/d/1QqKyyYR6Q21VydFLVH3TRQUabQu_ym0Zz7PgGX0-kHA/edit?usp=sharing"",""แผน!AK62"")"),0)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IFERROR(__xludf.DUMMYFUNCTION("IMPORTRANGE(""https://docs.google.com/spreadsheets/d/1QqKyyYR6Q21VydFLVH3TRQUabQu_ym0Zz7PgGX0-kHA/edit?usp=sharing"",""แผน!AL62"")"),0)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IFERROR(__xludf.DUMMYFUNCTION("IMPORTRANGE(""https://docs.google.com/spreadsheets/d/1QqKyyYR6Q21VydFLVH3TRQUabQu_ym0Zz7PgGX0-kHA/edit?usp=sharing"",""แผน!AM62"")"),0)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IFERROR(__xludf.DUMMYFUNCTION("IMPORTRANGE(""https://docs.google.com/spreadsheets/d/1QqKyyYR6Q21VydFLVH3TRQUabQu_ym0Zz7PgGX0-kHA/edit?usp=sharing"",""แผน!AN62"")"),0)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IFERROR(__xludf.DUMMYFUNCTION("IMPORTRANGE(""https://docs.google.com/spreadsheets/d/1QqKyyYR6Q21VydFLVH3TRQUabQu_ym0Zz7PgGX0-kHA/edit?usp=sharing"",""แผน!AN62"")"),0)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20000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8000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IFERROR(__xludf.DUMMYFUNCTION("IMPORTRANGE(""https://docs.google.com/spreadsheets/d/1QqKyyYR6Q21VydFLVH3TRQUabQu_ym0Zz7PgGX0-kHA/edit?usp=sharing"",""แผน!AP62"")"),3000)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IFERROR(__xludf.DUMMYFUNCTION("IMPORTRANGE(""https://docs.google.com/spreadsheets/d/1QqKyyYR6Q21VydFLVH3TRQUabQu_ym0Zz7PgGX0-kHA/edit?usp=sharing"",""แผน!AQ62"")"),5000)</f>
        <v>5000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IFERROR(__xludf.DUMMYFUNCTION("IMPORTRANGE(""https://docs.google.com/spreadsheets/d/1QqKyyYR6Q21VydFLVH3TRQUabQu_ym0Zz7PgGX0-kHA/edit?usp=sharing"",""แผน!AR62"")"),0)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IFERROR(__xludf.DUMMYFUNCTION("IMPORTRANGE(""https://docs.google.com/spreadsheets/d/1QqKyyYR6Q21VydFLVH3TRQUabQu_ym0Zz7PgGX0-kHA/edit?usp=sharing"",""แผน!AT62"")"),20000)</f>
        <v>20000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IFERROR(__xludf.DUMMYFUNCTION("IMPORTRANGE(""https://docs.google.com/spreadsheets/d/1QqKyyYR6Q21VydFLVH3TRQUabQu_ym0Zz7PgGX0-kHA/edit?usp=sharing"",""แผน!AT62"")"),20000)</f>
        <v>20000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IFERROR(__xludf.DUMMYFUNCTION("IMPORTRANGE(""https://docs.google.com/spreadsheets/d/1QqKyyYR6Q21VydFLVH3TRQUabQu_ym0Zz7PgGX0-kHA/edit?usp=sharing"",""แผน!AS62"")"),0)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0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IFERROR(__xludf.DUMMYFUNCTION("IMPORTRANGE(""https://docs.google.com/spreadsheets/d/1QqKyyYR6Q21VydFLVH3TRQUabQu_ym0Zz7PgGX0-kHA/edit?usp=sharing"",""แผน!AV62"")"),0)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IFERROR(__xludf.DUMMYFUNCTION("IMPORTRANGE(""https://docs.google.com/spreadsheets/d/1QqKyyYR6Q21VydFLVH3TRQUabQu_ym0Zz7PgGX0-kHA/edit?usp=sharing"",""แผน!AW62"")"),0)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IFERROR(__xludf.DUMMYFUNCTION("IMPORTRANGE(""https://docs.google.com/spreadsheets/d/1QqKyyYR6Q21VydFLVH3TRQUabQu_ym0Zz7PgGX0-kHA/edit?usp=sharing"",""แผน!AX62"")"),0)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IFERROR(__xludf.DUMMYFUNCTION("IMPORTRANGE(""https://docs.google.com/spreadsheets/d/1QqKyyYR6Q21VydFLVH3TRQUabQu_ym0Zz7PgGX0-kHA/edit?usp=sharing"",""แผน!AY62"")"),0)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IFERROR(__xludf.DUMMYFUNCTION("IMPORTRANGE(""https://docs.google.com/spreadsheets/d/1QqKyyYR6Q21VydFLVH3TRQUabQu_ym0Zz7PgGX0-kHA/edit?usp=sharing"",""แผน!BE62"")"),0)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IFERROR(__xludf.DUMMYFUNCTION("IMPORTRANGE(""https://docs.google.com/spreadsheets/d/1QqKyyYR6Q21VydFLVH3TRQUabQu_ym0Zz7PgGX0-kHA/edit?usp=sharing"",""แผน!AZ62"")"),0)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IFERROR(__xludf.DUMMYFUNCTION("IMPORTRANGE(""https://docs.google.com/spreadsheets/d/1QqKyyYR6Q21VydFLVH3TRQUabQu_ym0Zz7PgGX0-kHA/edit?usp=sharing"",""แผน!BA62"")"),0)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IFERROR(__xludf.DUMMYFUNCTION("IMPORTRANGE(""https://docs.google.com/spreadsheets/d/1QqKyyYR6Q21VydFLVH3TRQUabQu_ym0Zz7PgGX0-kHA/edit?usp=sharing"",""แผน!BB62"")"),0)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IFERROR(__xludf.DUMMYFUNCTION("IMPORTRANGE(""https://docs.google.com/spreadsheets/d/1QqKyyYR6Q21VydFLVH3TRQUabQu_ym0Zz7PgGX0-kHA/edit?usp=sharing"",""แผน!BC62"")"),0)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IFERROR(__xludf.DUMMYFUNCTION("IMPORTRANGE(""https://docs.google.com/spreadsheets/d/1QqKyyYR6Q21VydFLVH3TRQUabQu_ym0Zz7PgGX0-kHA/edit?usp=sharing"",""แผน!BF62"")"),"")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IFERROR(__xludf.DUMMYFUNCTION("IMPORTRANGE(""https://docs.google.com/spreadsheets/d/1MeEWN-I1oV_STSDYn1IFDPWt_1FKiwhDph83XaGc0o0/edit?usp=sharing"",""งบพรบ!CY62"")"),26900)</f>
        <v>26900</v>
      </c>
      <c r="M266" s="90">
        <f ca="1">IFERROR(__xludf.DUMMYFUNCTION("IMPORTRANGE(""https://docs.google.com/spreadsheets/d/1MeEWN-I1oV_STSDYn1IFDPWt_1FKiwhDph83XaGc0o0/edit?usp=sharing"",""งบพรบ!DD62"")"),0)</f>
        <v>0</v>
      </c>
      <c r="N266" s="90">
        <f ca="1">IFERROR(__xludf.DUMMYFUNCTION("IMPORTRANGE(""https://docs.google.com/spreadsheets/d/1MeEWN-I1oV_STSDYn1IFDPWt_1FKiwhDph83XaGc0o0/edit?usp=sharing"",""งบพรบ!DF62"")"),0)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IFERROR(__xludf.DUMMYFUNCTION("IMPORTRANGE(""https://docs.google.com/spreadsheets/d/1MeEWN-I1oV_STSDYn1IFDPWt_1FKiwhDph83XaGc0o0/edit?usp=sharing"",""งบพรบ!DB62"")"),0)</f>
        <v>0</v>
      </c>
      <c r="M269" s="90">
        <f ca="1">IFERROR(__xludf.DUMMYFUNCTION("IMPORTRANGE(""https://docs.google.com/spreadsheets/d/1MeEWN-I1oV_STSDYn1IFDPWt_1FKiwhDph83XaGc0o0/edit?usp=sharing"",""งบพรบ!DE62"")"),0)</f>
        <v>0</v>
      </c>
      <c r="N269" s="90">
        <f ca="1">IFERROR(__xludf.DUMMYFUNCTION("IMPORTRANGE(""https://docs.google.com/spreadsheets/d/1MeEWN-I1oV_STSDYn1IFDPWt_1FKiwhDph83XaGc0o0/edit?usp=sharing"",""งบพรบ!DG62"")"),0)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IFERROR(__xludf.DUMMYFUNCTION("IMPORTRANGE(""https://docs.google.com/spreadsheets/d/1QqKyyYR6Q21VydFLVH3TRQUabQu_ym0Zz7PgGX0-kHA/edit?usp=sharing"",""แผน!EA62"")"),22)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0</v>
      </c>
      <c r="M277" s="151">
        <f t="shared" ca="1" si="124"/>
        <v>0</v>
      </c>
      <c r="N277" s="151">
        <f t="shared" ca="1" si="124"/>
        <v>0</v>
      </c>
      <c r="O277" s="151">
        <f t="shared" ref="O277:O285" ca="1" si="125">IF(L277&gt;0,N277*100/L277,0)</f>
        <v>0</v>
      </c>
      <c r="P277" s="151">
        <f t="shared" ref="P277:P285" ca="1" si="126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0</v>
      </c>
      <c r="M279" s="90">
        <f t="shared" ca="1" si="127"/>
        <v>0</v>
      </c>
      <c r="N279" s="90">
        <f t="shared" ca="1" si="127"/>
        <v>0</v>
      </c>
      <c r="O279" s="90">
        <f t="shared" ca="1" si="125"/>
        <v>0</v>
      </c>
      <c r="P279" s="90">
        <f t="shared" ca="1" si="126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0</v>
      </c>
      <c r="M280" s="495">
        <f t="shared" ca="1" si="128"/>
        <v>0</v>
      </c>
      <c r="N280" s="495">
        <f t="shared" ca="1" si="128"/>
        <v>0</v>
      </c>
      <c r="O280" s="495">
        <f t="shared" ca="1" si="125"/>
        <v>0</v>
      </c>
      <c r="P280" s="495">
        <f t="shared" ca="1" si="126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IFERROR(__xludf.DUMMYFUNCTION("IMPORTRANGE(""https://docs.google.com/spreadsheets/d/1MeEWN-I1oV_STSDYn1IFDPWt_1FKiwhDph83XaGc0o0/edit?usp=sharing"",""งบพรบ!DI62"")"),0)</f>
        <v>0</v>
      </c>
      <c r="M282" s="90">
        <f ca="1">IFERROR(__xludf.DUMMYFUNCTION("IMPORTRANGE(""https://docs.google.com/spreadsheets/d/1MeEWN-I1oV_STSDYn1IFDPWt_1FKiwhDph83XaGc0o0/edit?usp=sharing"",""งบพรบ!DN62"")"),0)</f>
        <v>0</v>
      </c>
      <c r="N282" s="90">
        <f ca="1">IFERROR(__xludf.DUMMYFUNCTION("IMPORTRANGE(""https://docs.google.com/spreadsheets/d/1MeEWN-I1oV_STSDYn1IFDPWt_1FKiwhDph83XaGc0o0/edit?usp=sharing"",""งบพรบ!DP62"")"),0)</f>
        <v>0</v>
      </c>
      <c r="O282" s="90">
        <f t="shared" ca="1" si="125"/>
        <v>0</v>
      </c>
      <c r="P282" s="90">
        <f t="shared" ca="1" si="126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IFERROR(__xludf.DUMMYFUNCTION("IMPORTRANGE(""https://docs.google.com/spreadsheets/d/1MeEWN-I1oV_STSDYn1IFDPWt_1FKiwhDph83XaGc0o0/edit?usp=sharing"",""งบพรบ!DL62"")"),0)</f>
        <v>0</v>
      </c>
      <c r="M285" s="90">
        <f ca="1">IFERROR(__xludf.DUMMYFUNCTION("IMPORTRANGE(""https://docs.google.com/spreadsheets/d/1MeEWN-I1oV_STSDYn1IFDPWt_1FKiwhDph83XaGc0o0/edit?usp=sharing"",""งบพรบ!DO62"")"),0)</f>
        <v>0</v>
      </c>
      <c r="N285" s="90">
        <f ca="1">IFERROR(__xludf.DUMMYFUNCTION("IMPORTRANGE(""https://docs.google.com/spreadsheets/d/1MeEWN-I1oV_STSDYn1IFDPWt_1FKiwhDph83XaGc0o0/edit?usp=sharing"",""งบพรบ!DQ62"")"),0)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IFERROR(__xludf.DUMMYFUNCTION("IMPORTRANGE(""https://docs.google.com/spreadsheets/d/1QqKyyYR6Q21VydFLVH3TRQUabQu_ym0Zz7PgGX0-kHA/edit?usp=sharing"",""แผน!EC62"")"),0)</f>
        <v>0</v>
      </c>
      <c r="J287" s="264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IFERROR(__xludf.DUMMYFUNCTION("IMPORTRANGE(""https://docs.google.com/spreadsheets/d/1QqKyyYR6Q21VydFLVH3TRQUabQu_ym0Zz7PgGX0-kHA/edit?usp=sharing"",""แผน!EB62"")"),0)</f>
        <v>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IFERROR(__xludf.DUMMYFUNCTION("IMPORTRANGE(""https://docs.google.com/spreadsheets/d/1QqKyyYR6Q21VydFLVH3TRQUabQu_ym0Zz7PgGX0-kHA/edit?usp=sharing"",""แผน!EB62"")"),0)</f>
        <v>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IFERROR(__xludf.DUMMYFUNCTION("IMPORTRANGE(""https://docs.google.com/spreadsheets/d/1QqKyyYR6Q21VydFLVH3TRQUabQu_ym0Zz7PgGX0-kHA/edit?usp=sharing"",""แผน!EB62"")"),0)</f>
        <v>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IFERROR(__xludf.DUMMYFUNCTION("IMPORTRANGE(""https://docs.google.com/spreadsheets/d/1QqKyyYR6Q21VydFLVH3TRQUabQu_ym0Zz7PgGX0-kHA/edit?usp=sharing"",""แผน!EB62"")"),0)</f>
        <v>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IFERROR(__xludf.DUMMYFUNCTION("IMPORTRANGE(""https://docs.google.com/spreadsheets/d/1QqKyyYR6Q21VydFLVH3TRQUabQu_ym0Zz7PgGX0-kHA/edit?usp=sharing"",""แผน!EB62"")"),0)</f>
        <v>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 hidden="1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 hidden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 hidden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0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 hidden="1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0</v>
      </c>
      <c r="M298" s="151">
        <f t="shared" ca="1" si="134"/>
        <v>0</v>
      </c>
      <c r="N298" s="151">
        <f t="shared" ca="1" si="134"/>
        <v>0</v>
      </c>
      <c r="O298" s="151">
        <f t="shared" ref="O298:O306" ca="1" si="135">IF(L298&gt;0,N298*100/L298,0)</f>
        <v>0</v>
      </c>
      <c r="P298" s="151">
        <f t="shared" ref="P298:P306" ca="1" si="136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0</v>
      </c>
      <c r="M300" s="90">
        <f t="shared" ca="1" si="137"/>
        <v>0</v>
      </c>
      <c r="N300" s="90">
        <f t="shared" ca="1" si="137"/>
        <v>0</v>
      </c>
      <c r="O300" s="90">
        <f t="shared" ca="1" si="135"/>
        <v>0</v>
      </c>
      <c r="P300" s="90">
        <f t="shared" ca="1" si="136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0</v>
      </c>
      <c r="M301" s="495">
        <f t="shared" ca="1" si="138"/>
        <v>0</v>
      </c>
      <c r="N301" s="495">
        <f t="shared" ca="1" si="138"/>
        <v>0</v>
      </c>
      <c r="O301" s="495">
        <f t="shared" ca="1" si="135"/>
        <v>0</v>
      </c>
      <c r="P301" s="495">
        <f t="shared" ca="1" si="136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IFERROR(__xludf.DUMMYFUNCTION("IMPORTRANGE(""https://docs.google.com/spreadsheets/d/1MeEWN-I1oV_STSDYn1IFDPWt_1FKiwhDph83XaGc0o0/edit?usp=sharing"",""งบพรบ!DS62"")"),0)</f>
        <v>0</v>
      </c>
      <c r="M303" s="90">
        <f ca="1">IFERROR(__xludf.DUMMYFUNCTION("IMPORTRANGE(""https://docs.google.com/spreadsheets/d/1MeEWN-I1oV_STSDYn1IFDPWt_1FKiwhDph83XaGc0o0/edit?usp=sharing"",""งบพรบ!DX62"")"),0)</f>
        <v>0</v>
      </c>
      <c r="N303" s="90">
        <f ca="1">IFERROR(__xludf.DUMMYFUNCTION("IMPORTRANGE(""https://docs.google.com/spreadsheets/d/1MeEWN-I1oV_STSDYn1IFDPWt_1FKiwhDph83XaGc0o0/edit?usp=sharing"",""งบพรบ!DZ62"")"),0)</f>
        <v>0</v>
      </c>
      <c r="O303" s="90">
        <f t="shared" ca="1" si="135"/>
        <v>0</v>
      </c>
      <c r="P303" s="90">
        <f t="shared" ca="1" si="136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IFERROR(__xludf.DUMMYFUNCTION("IMPORTRANGE(""https://docs.google.com/spreadsheets/d/1MeEWN-I1oV_STSDYn1IFDPWt_1FKiwhDph83XaGc0o0/edit?usp=sharing"",""งบพรบ!DV62"")"),0)</f>
        <v>0</v>
      </c>
      <c r="M306" s="90">
        <f ca="1">IFERROR(__xludf.DUMMYFUNCTION("IMPORTRANGE(""https://docs.google.com/spreadsheets/d/1MeEWN-I1oV_STSDYn1IFDPWt_1FKiwhDph83XaGc0o0/edit?usp=sharing"",""งบพรบ!DY62"")"),0)</f>
        <v>0</v>
      </c>
      <c r="N306" s="90">
        <f ca="1">IFERROR(__xludf.DUMMYFUNCTION("IMPORTRANGE(""https://docs.google.com/spreadsheets/d/1MeEWN-I1oV_STSDYn1IFDPWt_1FKiwhDph83XaGc0o0/edit?usp=sharing"",""งบพรบ!EA62"")"),0)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 hidden="1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 hidden="1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IFERROR(__xludf.DUMMYFUNCTION("IMPORTRANGE(""https://docs.google.com/spreadsheets/d/1QqKyyYR6Q21VydFLVH3TRQUabQu_ym0Zz7PgGX0-kHA/edit?usp=sharing"",""แผน!ED62"")"),0)</f>
        <v>0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 hidden="1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IFERROR(__xludf.DUMMYFUNCTION("IMPORTRANGE(""https://docs.google.com/spreadsheets/d/1QqKyyYR6Q21VydFLVH3TRQUabQu_ym0Zz7PgGX0-kHA/edit?usp=sharing"",""แผน!ED62"")"),0)</f>
        <v>0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 hidden="1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IFERROR(__xludf.DUMMYFUNCTION("IMPORTRANGE(""https://docs.google.com/spreadsheets/d/1QqKyyYR6Q21VydFLVH3TRQUabQu_ym0Zz7PgGX0-kHA/edit?usp=sharing"",""แผน!ED62"")"),0)</f>
        <v>0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 hidden="1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IFERROR(__xludf.DUMMYFUNCTION("IMPORTRANGE(""https://docs.google.com/spreadsheets/d/1QqKyyYR6Q21VydFLVH3TRQUabQu_ym0Zz7PgGX0-kHA/edit?usp=sharing"",""แผน!EE62"")"),0)</f>
        <v>0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IFERROR(__xludf.DUMMYFUNCTION("IMPORTRANGE(""https://docs.google.com/spreadsheets/d/1MeEWN-I1oV_STSDYn1IFDPWt_1FKiwhDph83XaGc0o0/edit?usp=sharing"",""งบพรบ!EC62"")"),0)</f>
        <v>0</v>
      </c>
      <c r="M320" s="90">
        <f ca="1">IFERROR(__xludf.DUMMYFUNCTION("IMPORTRANGE(""https://docs.google.com/spreadsheets/d/1MeEWN-I1oV_STSDYn1IFDPWt_1FKiwhDph83XaGc0o0/edit?usp=sharing"",""งบพรบ!EH62"")"),0)</f>
        <v>0</v>
      </c>
      <c r="N320" s="90">
        <f ca="1">IFERROR(__xludf.DUMMYFUNCTION("IMPORTRANGE(""https://docs.google.com/spreadsheets/d/1MeEWN-I1oV_STSDYn1IFDPWt_1FKiwhDph83XaGc0o0/edit?usp=sharing"",""งบพรบ!EJ62"")"),0)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IFERROR(__xludf.DUMMYFUNCTION("IMPORTRANGE(""https://docs.google.com/spreadsheets/d/1MeEWN-I1oV_STSDYn1IFDPWt_1FKiwhDph83XaGc0o0/edit?usp=sharing"",""งบพรบ!EF62"")"),0)</f>
        <v>0</v>
      </c>
      <c r="M323" s="90">
        <f ca="1">IFERROR(__xludf.DUMMYFUNCTION("IMPORTRANGE(""https://docs.google.com/spreadsheets/d/1MeEWN-I1oV_STSDYn1IFDPWt_1FKiwhDph83XaGc0o0/edit?usp=sharing"",""งบพรบ!EI62"")"),0)</f>
        <v>0</v>
      </c>
      <c r="N323" s="90">
        <f ca="1">IFERROR(__xludf.DUMMYFUNCTION("IMPORTRANGE(""https://docs.google.com/spreadsheets/d/1MeEWN-I1oV_STSDYn1IFDPWt_1FKiwhDph83XaGc0o0/edit?usp=sharing"",""งบพรบ!EK62"")"),0)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IFERROR(__xludf.DUMMYFUNCTION("IMPORTRANGE(""https://docs.google.com/spreadsheets/d/1QqKyyYR6Q21VydFLVH3TRQUabQu_ym0Zz7PgGX0-kHA/edit?usp=sharing"",""แผน!EF62"")"),0)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IFERROR(__xludf.DUMMYFUNCTION("IMPORTRANGE(""https://docs.google.com/spreadsheets/d/1QqKyyYR6Q21VydFLVH3TRQUabQu_ym0Zz7PgGX0-kHA/edit?usp=sharing"",""แผน!EG62"")"),800)</f>
        <v>800</v>
      </c>
      <c r="J327" s="442">
        <f ca="1">J338+J341+J342+J343</f>
        <v>217</v>
      </c>
      <c r="K327" s="443">
        <f ca="1">IF(I327&gt;0,J327*100/I327,0)</f>
        <v>27.125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159000</v>
      </c>
      <c r="M328" s="151">
        <f t="shared" ca="1" si="148"/>
        <v>79500</v>
      </c>
      <c r="N328" s="151">
        <f t="shared" ca="1" si="148"/>
        <v>16610</v>
      </c>
      <c r="O328" s="151">
        <f t="shared" ref="O328:O336" ca="1" si="149">IF(L328&gt;0,N328*100/L328,0)</f>
        <v>10.446540880503145</v>
      </c>
      <c r="P328" s="151">
        <f t="shared" ref="P328:P336" ca="1" si="150">IF(M328&gt;0,N328*100/M328,0)</f>
        <v>20.89308176100629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159000</v>
      </c>
      <c r="M330" s="90">
        <f t="shared" ca="1" si="151"/>
        <v>79500</v>
      </c>
      <c r="N330" s="90">
        <f t="shared" ca="1" si="151"/>
        <v>16610</v>
      </c>
      <c r="O330" s="90">
        <f t="shared" ca="1" si="149"/>
        <v>10.446540880503145</v>
      </c>
      <c r="P330" s="90">
        <f t="shared" ca="1" si="150"/>
        <v>20.89308176100629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159000</v>
      </c>
      <c r="M331" s="495">
        <f t="shared" ca="1" si="152"/>
        <v>79500</v>
      </c>
      <c r="N331" s="495">
        <f t="shared" ca="1" si="152"/>
        <v>16610</v>
      </c>
      <c r="O331" s="495">
        <f t="shared" ca="1" si="149"/>
        <v>10.446540880503145</v>
      </c>
      <c r="P331" s="495">
        <f t="shared" ca="1" si="150"/>
        <v>20.89308176100629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IFERROR(__xludf.DUMMYFUNCTION("IMPORTRANGE(""https://docs.google.com/spreadsheets/d/1MeEWN-I1oV_STSDYn1IFDPWt_1FKiwhDph83XaGc0o0/edit?usp=sharing"",""งบพรบ!EM62"")"),159000)</f>
        <v>159000</v>
      </c>
      <c r="M333" s="90">
        <f ca="1">IFERROR(__xludf.DUMMYFUNCTION("IMPORTRANGE(""https://docs.google.com/spreadsheets/d/1MeEWN-I1oV_STSDYn1IFDPWt_1FKiwhDph83XaGc0o0/edit?usp=sharing"",""งบพรบ!ER62"")"),79500)</f>
        <v>79500</v>
      </c>
      <c r="N333" s="90">
        <f ca="1">IFERROR(__xludf.DUMMYFUNCTION("IMPORTRANGE(""https://docs.google.com/spreadsheets/d/1MeEWN-I1oV_STSDYn1IFDPWt_1FKiwhDph83XaGc0o0/edit?usp=sharing"",""งบพรบ!ET62"")"),16610)</f>
        <v>16610</v>
      </c>
      <c r="O333" s="90">
        <f t="shared" ca="1" si="149"/>
        <v>10.446540880503145</v>
      </c>
      <c r="P333" s="90">
        <f t="shared" ca="1" si="150"/>
        <v>20.89308176100629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IFERROR(__xludf.DUMMYFUNCTION("IMPORTRANGE(""https://docs.google.com/spreadsheets/d/1MeEWN-I1oV_STSDYn1IFDPWt_1FKiwhDph83XaGc0o0/edit?usp=sharing"",""งบพรบ!EP62"")"),0)</f>
        <v>0</v>
      </c>
      <c r="M336" s="90">
        <f ca="1">IFERROR(__xludf.DUMMYFUNCTION("IMPORTRANGE(""https://docs.google.com/spreadsheets/d/1MeEWN-I1oV_STSDYn1IFDPWt_1FKiwhDph83XaGc0o0/edit?usp=sharing"",""งบพรบ!ES62"")"),0)</f>
        <v>0</v>
      </c>
      <c r="N336" s="90">
        <f ca="1">IFERROR(__xludf.DUMMYFUNCTION("IMPORTRANGE(""https://docs.google.com/spreadsheets/d/1MeEWN-I1oV_STSDYn1IFDPWt_1FKiwhDph83XaGc0o0/edit?usp=sharing"",""งบพรบ!EU62"")"),0)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IFERROR(__xludf.DUMMYFUNCTION("IMPORTRANGE(""https://docs.google.com/spreadsheets/d/1QqKyyYR6Q21VydFLVH3TRQUabQu_ym0Zz7PgGX0-kHA/edit?usp=sharing"",""แผน!EG62"")"),800)</f>
        <v>800</v>
      </c>
      <c r="J338" s="264">
        <f ca="1">IFERROR(__xludf.DUMMYFUNCTION("IMPORTRANGE(""https://docs.google.com/spreadsheets/d/1kVcqe37tkHyjCSG3S0O1AXqVkqjo8mSIZil3BcpIysc/edit?usp=sharing"",""ศูนย์!D62"")"),217)</f>
        <v>217</v>
      </c>
      <c r="K338" s="495">
        <f ca="1">IF(I338&gt;0,J338*100/I338,0)</f>
        <v>27.125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IFERROR(__xludf.DUMMYFUNCTION("IMPORTRANGE(""https://docs.google.com/spreadsheets/d/1QqKyyYR6Q21VydFLVH3TRQUabQu_ym0Zz7PgGX0-kHA/edit?usp=sharing"",""แผน!EH62"")"),3)</f>
        <v>3</v>
      </c>
      <c r="J340" s="264">
        <f ca="1">IFERROR(__xludf.DUMMYFUNCTION("IMPORTRANGE(""https://docs.google.com/spreadsheets/d/1kVcqe37tkHyjCSG3S0O1AXqVkqjo8mSIZil3BcpIysc/edit?usp=sharing"",""ศูนย์!E62"")"),0)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IFERROR(__xludf.DUMMYFUNCTION("IMPORTRANGE(""https://docs.google.com/spreadsheets/d/1kVcqe37tkHyjCSG3S0O1AXqVkqjo8mSIZil3BcpIysc/edit?usp=sharing"",""ศูนย์!F62"")"),0)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IFERROR(__xludf.DUMMYFUNCTION("IMPORTRANGE(""https://docs.google.com/spreadsheets/d/1kVcqe37tkHyjCSG3S0O1AXqVkqjo8mSIZil3BcpIysc/edit?usp=sharing"",""ศูนย์!G62"")"),0)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IFERROR(__xludf.DUMMYFUNCTION("IMPORTRANGE(""https://docs.google.com/spreadsheets/d/1kVcqe37tkHyjCSG3S0O1AXqVkqjo8mSIZil3BcpIysc/edit?usp=sharing"",""ศูนย์!H62"")"),0)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636860</v>
      </c>
      <c r="M345" s="151">
        <f t="shared" ca="1" si="154"/>
        <v>394230</v>
      </c>
      <c r="N345" s="151">
        <f t="shared" ca="1" si="154"/>
        <v>188229.04</v>
      </c>
      <c r="O345" s="151">
        <f t="shared" ref="O345:O353" ca="1" si="155">IF(L345&gt;0,N345*100/L345,0)</f>
        <v>29.55579562227177</v>
      </c>
      <c r="P345" s="151">
        <f t="shared" ref="P345:P353" ca="1" si="156">IF(M345&gt;0,N345*100/M345,0)</f>
        <v>47.745995992187304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636860</v>
      </c>
      <c r="M347" s="90">
        <f t="shared" ca="1" si="157"/>
        <v>394230</v>
      </c>
      <c r="N347" s="90">
        <f t="shared" ca="1" si="157"/>
        <v>188229.04</v>
      </c>
      <c r="O347" s="90">
        <f t="shared" ca="1" si="155"/>
        <v>29.55579562227177</v>
      </c>
      <c r="P347" s="90">
        <f t="shared" ca="1" si="156"/>
        <v>47.745995992187304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485260</v>
      </c>
      <c r="M348" s="495">
        <f t="shared" ca="1" si="158"/>
        <v>242630</v>
      </c>
      <c r="N348" s="495">
        <f t="shared" ca="1" si="158"/>
        <v>36629.040000000001</v>
      </c>
      <c r="O348" s="495">
        <f t="shared" ca="1" si="155"/>
        <v>7.5483328524914475</v>
      </c>
      <c r="P348" s="495">
        <f t="shared" ca="1" si="156"/>
        <v>15.096665704982895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IFERROR(__xludf.DUMMYFUNCTION("IMPORTRANGE(""https://docs.google.com/spreadsheets/d/1MeEWN-I1oV_STSDYn1IFDPWt_1FKiwhDph83XaGc0o0/edit?usp=sharing"",""งบพรบ!EW62"")"),485260)</f>
        <v>485260</v>
      </c>
      <c r="M350" s="90">
        <f ca="1">IFERROR(__xludf.DUMMYFUNCTION("IMPORTRANGE(""https://docs.google.com/spreadsheets/d/1MeEWN-I1oV_STSDYn1IFDPWt_1FKiwhDph83XaGc0o0/edit?usp=sharing"",""งบพรบ!FB62"")"),242630)</f>
        <v>242630</v>
      </c>
      <c r="N350" s="90">
        <f ca="1">IFERROR(__xludf.DUMMYFUNCTION("IMPORTRANGE(""https://docs.google.com/spreadsheets/d/1MeEWN-I1oV_STSDYn1IFDPWt_1FKiwhDph83XaGc0o0/edit?usp=sharing"",""งบพรบ!FD62"")"),36629.04)</f>
        <v>36629.040000000001</v>
      </c>
      <c r="O350" s="90">
        <f t="shared" ca="1" si="155"/>
        <v>7.5483328524914475</v>
      </c>
      <c r="P350" s="90">
        <f t="shared" ca="1" si="156"/>
        <v>15.096665704982895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151600</v>
      </c>
      <c r="M351" s="495">
        <f t="shared" ca="1" si="159"/>
        <v>151600</v>
      </c>
      <c r="N351" s="495">
        <f t="shared" ca="1" si="159"/>
        <v>151600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IFERROR(__xludf.DUMMYFUNCTION("IMPORTRANGE(""https://docs.google.com/spreadsheets/d/1MeEWN-I1oV_STSDYn1IFDPWt_1FKiwhDph83XaGc0o0/edit?usp=sharing"",""งบพรบ!EZ62"")"),151600)</f>
        <v>151600</v>
      </c>
      <c r="M353" s="90">
        <f ca="1">IFERROR(__xludf.DUMMYFUNCTION("IMPORTRANGE(""https://docs.google.com/spreadsheets/d/1MeEWN-I1oV_STSDYn1IFDPWt_1FKiwhDph83XaGc0o0/edit?usp=sharing"",""งบพรบ!FC62"")"),151600)</f>
        <v>151600</v>
      </c>
      <c r="N353" s="90">
        <f ca="1">IFERROR(__xludf.DUMMYFUNCTION("IMPORTRANGE(""https://docs.google.com/spreadsheets/d/1MeEWN-I1oV_STSDYn1IFDPWt_1FKiwhDph83XaGc0o0/edit?usp=sharing"",""งบพรบ!FE62"")"),151600)</f>
        <v>151600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IFERROR(__xludf.DUMMYFUNCTION("IMPORTRANGE(""https://docs.google.com/spreadsheets/d/1QqKyyYR6Q21VydFLVH3TRQUabQu_ym0Zz7PgGX0-kHA/edit?usp=sharing"",""แผน!EP62"")"),90)</f>
        <v>90</v>
      </c>
      <c r="J355" s="462">
        <f ca="1">J362</f>
        <v>1</v>
      </c>
      <c r="K355" s="463">
        <f ca="1">IF(I355&gt;0,J355*100/I355,0)</f>
        <v>1.1111111111111112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IFERROR(__xludf.DUMMYFUNCTION("IMPORTRANGE(""https://docs.google.com/spreadsheets/d/1XWAQStnk-4SwqDmLtmXYiTMKHgktTP8We1SCoS47DrQ/edit?usp=sharing"",""จัดที่ดิน!W62"")"),1)</f>
        <v>1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IFERROR(__xludf.DUMMYFUNCTION("IMPORTRANGE(""https://docs.google.com/spreadsheets/d/1QqKyyYR6Q21VydFLVH3TRQUabQu_ym0Zz7PgGX0-kHA/edit?usp=sharing"",""แผน!EO62"")"),760)</f>
        <v>760</v>
      </c>
      <c r="J359" s="264">
        <f ca="1">IFERROR(__xludf.DUMMYFUNCTION("IMPORTRANGE(""https://docs.google.com/spreadsheets/d/1XWAQStnk-4SwqDmLtmXYiTMKHgktTP8We1SCoS47DrQ/edit?usp=sharing"",""จัดที่ดิน!X62"")"),10.91)</f>
        <v>10.91</v>
      </c>
      <c r="K359" s="495">
        <f t="shared" ca="1" si="160"/>
        <v>1.4355263157894738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IFERROR(__xludf.DUMMYFUNCTION("IMPORTRANGE(""https://docs.google.com/spreadsheets/d/1QqKyyYR6Q21VydFLVH3TRQUabQu_ym0Zz7PgGX0-kHA/edit?usp=sharing"",""แผน!EP62"")"),90)</f>
        <v>90</v>
      </c>
      <c r="J360" s="264">
        <f ca="1">IFERROR(__xludf.DUMMYFUNCTION("IMPORTRANGE(""https://docs.google.com/spreadsheets/d/1XWAQStnk-4SwqDmLtmXYiTMKHgktTP8We1SCoS47DrQ/edit?usp=sharing"",""จัดที่ดิน!Y62"")"),1)</f>
        <v>1</v>
      </c>
      <c r="K360" s="495">
        <f t="shared" ca="1" si="160"/>
        <v>1.1111111111111112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IFERROR(__xludf.DUMMYFUNCTION("IMPORTRANGE(""https://docs.google.com/spreadsheets/d/1XWAQStnk-4SwqDmLtmXYiTMKHgktTP8We1SCoS47DrQ/edit?usp=sharing"",""จัดที่ดิน!Z62"")"),10.91)</f>
        <v>10.91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IFERROR(__xludf.DUMMYFUNCTION("IMPORTRANGE(""https://docs.google.com/spreadsheets/d/1QqKyyYR6Q21VydFLVH3TRQUabQu_ym0Zz7PgGX0-kHA/edit?usp=sharing"",""แผน!EP62"")"),90)</f>
        <v>90</v>
      </c>
      <c r="J362" s="264">
        <f ca="1">IFERROR(__xludf.DUMMYFUNCTION("IMPORTRANGE(""https://docs.google.com/spreadsheets/d/1XWAQStnk-4SwqDmLtmXYiTMKHgktTP8We1SCoS47DrQ/edit?usp=sharing"",""จัดที่ดิน!AA62"")"),1)</f>
        <v>1</v>
      </c>
      <c r="K362" s="495">
        <f t="shared" ca="1" si="160"/>
        <v>1.1111111111111112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IFERROR(__xludf.DUMMYFUNCTION("IMPORTRANGE(""https://docs.google.com/spreadsheets/d/1XWAQStnk-4SwqDmLtmXYiTMKHgktTP8We1SCoS47DrQ/edit?usp=sharing"",""จัดที่ดิน!AB62"")"),10.91)</f>
        <v>10.91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140</v>
      </c>
      <c r="J364" s="476">
        <f t="shared" ca="1" si="161"/>
        <v>5</v>
      </c>
      <c r="K364" s="477">
        <f t="shared" ca="1" si="160"/>
        <v>3.5714285714285716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IFERROR(__xludf.DUMMYFUNCTION("IMPORTRANGE(""https://docs.google.com/spreadsheets/d/1QqKyyYR6Q21VydFLVH3TRQUabQu_ym0Zz7PgGX0-kHA/edit?usp=sharing"",""แผน!EJ62"")"),60)</f>
        <v>60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IFERROR(__xludf.DUMMYFUNCTION("IMPORTRANGE(""https://docs.google.com/spreadsheets/d/1XWAQStnk-4SwqDmLtmXYiTMKHgktTP8We1SCoS47DrQ/edit?usp=sharing"",""จัดที่ดิน!E62"")"),0)</f>
        <v>0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IFERROR(__xludf.DUMMYFUNCTION("IMPORTRANGE(""https://docs.google.com/spreadsheets/d/1QqKyyYR6Q21VydFLVH3TRQUabQu_ym0Zz7PgGX0-kHA/edit?usp=sharing"",""แผน!EI62"")"),500)</f>
        <v>500</v>
      </c>
      <c r="J369" s="264">
        <f ca="1">IFERROR(__xludf.DUMMYFUNCTION("IMPORTRANGE(""https://docs.google.com/spreadsheets/d/1XWAQStnk-4SwqDmLtmXYiTMKHgktTP8We1SCoS47DrQ/edit?usp=sharing"",""จัดที่ดิน!F62"")"),0)</f>
        <v>0</v>
      </c>
      <c r="K369" s="495">
        <f t="shared" ca="1" si="162"/>
        <v>0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IFERROR(__xludf.DUMMYFUNCTION("IMPORTRANGE(""https://docs.google.com/spreadsheets/d/1QqKyyYR6Q21VydFLVH3TRQUabQu_ym0Zz7PgGX0-kHA/edit?usp=sharing"",""แผน!EJ62"")"),60)</f>
        <v>60</v>
      </c>
      <c r="J370" s="264">
        <f ca="1">IFERROR(__xludf.DUMMYFUNCTION("IMPORTRANGE(""https://docs.google.com/spreadsheets/d/1XWAQStnk-4SwqDmLtmXYiTMKHgktTP8We1SCoS47DrQ/edit?usp=sharing"",""จัดที่ดิน!G62"")"),0)</f>
        <v>0</v>
      </c>
      <c r="K370" s="495">
        <f t="shared" ca="1" si="162"/>
        <v>0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IFERROR(__xludf.DUMMYFUNCTION("IMPORTRANGE(""https://docs.google.com/spreadsheets/d/1XWAQStnk-4SwqDmLtmXYiTMKHgktTP8We1SCoS47DrQ/edit?usp=sharing"",""จัดที่ดิน!H62"")"),0)</f>
        <v>0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IFERROR(__xludf.DUMMYFUNCTION("IMPORTRANGE(""https://docs.google.com/spreadsheets/d/1QqKyyYR6Q21VydFLVH3TRQUabQu_ym0Zz7PgGX0-kHA/edit?usp=sharing"",""แผน!EJ62"")"),60)</f>
        <v>60</v>
      </c>
      <c r="J372" s="264">
        <f ca="1">IFERROR(__xludf.DUMMYFUNCTION("IMPORTRANGE(""https://docs.google.com/spreadsheets/d/1XWAQStnk-4SwqDmLtmXYiTMKHgktTP8We1SCoS47DrQ/edit?usp=sharing"",""จัดที่ดิน!I62"")"),0)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IFERROR(__xludf.DUMMYFUNCTION("IMPORTRANGE(""https://docs.google.com/spreadsheets/d/1XWAQStnk-4SwqDmLtmXYiTMKHgktTP8We1SCoS47DrQ/edit?usp=sharing"",""จัดที่ดิน!J62"")"),0)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IFERROR(__xludf.DUMMYFUNCTION("IMPORTRANGE(""https://docs.google.com/spreadsheets/d/1QqKyyYR6Q21VydFLVH3TRQUabQu_ym0Zz7PgGX0-kHA/edit?usp=sharing"",""แผน!EU62"")"),80)</f>
        <v>80</v>
      </c>
      <c r="J374" s="488">
        <f ca="1">J381</f>
        <v>5</v>
      </c>
      <c r="K374" s="489">
        <f t="shared" ca="1" si="162"/>
        <v>6.25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IFERROR(__xludf.DUMMYFUNCTION("IMPORTRANGE(""https://docs.google.com/spreadsheets/d/1XWAQStnk-4SwqDmLtmXYiTMKHgktTP8We1SCoS47DrQ/edit?usp=sharing"",""จัดที่ดิน!AH62"")"),1)</f>
        <v>1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IFERROR(__xludf.DUMMYFUNCTION("IMPORTRANGE(""https://docs.google.com/spreadsheets/d/1QqKyyYR6Q21VydFLVH3TRQUabQu_ym0Zz7PgGX0-kHA/edit?usp=sharing"",""แผน!ET62"")"),260)</f>
        <v>260</v>
      </c>
      <c r="J378" s="264">
        <f ca="1">IFERROR(__xludf.DUMMYFUNCTION("IMPORTRANGE(""https://docs.google.com/spreadsheets/d/1XWAQStnk-4SwqDmLtmXYiTMKHgktTP8We1SCoS47DrQ/edit?usp=sharing"",""จัดที่ดิน!AI62"")"),10.91)</f>
        <v>10.91</v>
      </c>
      <c r="K378" s="495">
        <f t="shared" ca="1" si="163"/>
        <v>4.1961538461538463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IFERROR(__xludf.DUMMYFUNCTION("IMPORTRANGE(""https://docs.google.com/spreadsheets/d/1QqKyyYR6Q21VydFLVH3TRQUabQu_ym0Zz7PgGX0-kHA/edit?usp=sharing"",""แผน!EU62"")"),80)</f>
        <v>80</v>
      </c>
      <c r="J379" s="264">
        <f ca="1">IFERROR(__xludf.DUMMYFUNCTION("IMPORTRANGE(""https://docs.google.com/spreadsheets/d/1XWAQStnk-4SwqDmLtmXYiTMKHgktTP8We1SCoS47DrQ/edit?usp=sharing"",""จัดที่ดิน!AJ62"")"),4)</f>
        <v>4</v>
      </c>
      <c r="K379" s="495">
        <f t="shared" ca="1" si="163"/>
        <v>5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IFERROR(__xludf.DUMMYFUNCTION("IMPORTRANGE(""https://docs.google.com/spreadsheets/d/1XWAQStnk-4SwqDmLtmXYiTMKHgktTP8We1SCoS47DrQ/edit?usp=sharing"",""จัดที่ดิน!AK62"")"),36.09)</f>
        <v>36.090000000000003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IFERROR(__xludf.DUMMYFUNCTION("IMPORTRANGE(""https://docs.google.com/spreadsheets/d/1QqKyyYR6Q21VydFLVH3TRQUabQu_ym0Zz7PgGX0-kHA/edit?usp=sharing"",""แผน!EU62"")"),80)</f>
        <v>80</v>
      </c>
      <c r="J381" s="264">
        <f ca="1">IFERROR(__xludf.DUMMYFUNCTION("IMPORTRANGE(""https://docs.google.com/spreadsheets/d/1XWAQStnk-4SwqDmLtmXYiTMKHgktTP8We1SCoS47DrQ/edit?usp=sharing"",""จัดที่ดิน!AL62"")"),5)</f>
        <v>5</v>
      </c>
      <c r="K381" s="495">
        <f t="shared" ca="1" si="163"/>
        <v>6.25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IFERROR(__xludf.DUMMYFUNCTION("IMPORTRANGE(""https://docs.google.com/spreadsheets/d/1XWAQStnk-4SwqDmLtmXYiTMKHgktTP8We1SCoS47DrQ/edit?usp=sharing"",""จัดที่ดิน!AM62"")"),41.95)</f>
        <v>41.95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IFERROR(__xludf.DUMMYFUNCTION("IMPORTRANGE(""https://docs.google.com/spreadsheets/d/1QqKyyYR6Q21VydFLVH3TRQUabQu_ym0Zz7PgGX0-kHA/edit?usp=sharing"",""แผน!EW62"")"),15)</f>
        <v>15</v>
      </c>
      <c r="J385" s="498">
        <f ca="1">IFERROR(__xludf.DUMMYFUNCTION("IMPORTRANGE(""https://docs.google.com/spreadsheets/d/1XWAQStnk-4SwqDmLtmXYiTMKHgktTP8We1SCoS47DrQ/edit?usp=sharing"",""จัดที่ดิน!AP62"")"),0)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IFERROR(__xludf.DUMMYFUNCTION("IMPORTRANGE(""https://docs.google.com/spreadsheets/d/1MeEWN-I1oV_STSDYn1IFDPWt_1FKiwhDph83XaGc0o0/edit?usp=sharing"",""งบพรบ!FG62"")"),0)</f>
        <v>0</v>
      </c>
      <c r="M394" s="90">
        <f ca="1">IFERROR(__xludf.DUMMYFUNCTION("IMPORTRANGE(""https://docs.google.com/spreadsheets/d/1MeEWN-I1oV_STSDYn1IFDPWt_1FKiwhDph83XaGc0o0/edit?usp=sharing"",""งบพรบ!FL62"")"),0)</f>
        <v>0</v>
      </c>
      <c r="N394" s="90">
        <f ca="1">IFERROR(__xludf.DUMMYFUNCTION("IMPORTRANGE(""https://docs.google.com/spreadsheets/d/1MeEWN-I1oV_STSDYn1IFDPWt_1FKiwhDph83XaGc0o0/edit?usp=sharing"",""งบพรบ!FN62"")"),0)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IFERROR(__xludf.DUMMYFUNCTION("IMPORTRANGE(""https://docs.google.com/spreadsheets/d/1MeEWN-I1oV_STSDYn1IFDPWt_1FKiwhDph83XaGc0o0/edit?usp=sharing"",""งบพรบ!FJ62"")"),0)</f>
        <v>0</v>
      </c>
      <c r="M397" s="90">
        <f ca="1">IFERROR(__xludf.DUMMYFUNCTION("IMPORTRANGE(""https://docs.google.com/spreadsheets/d/1MeEWN-I1oV_STSDYn1IFDPWt_1FKiwhDph83XaGc0o0/edit?usp=sharing"",""งบพรบ!FM62"")"),0)</f>
        <v>0</v>
      </c>
      <c r="N397" s="90">
        <f ca="1">IFERROR(__xludf.DUMMYFUNCTION("IMPORTRANGE(""https://docs.google.com/spreadsheets/d/1MeEWN-I1oV_STSDYn1IFDPWt_1FKiwhDph83XaGc0o0/edit?usp=sharing"",""งบพรบ!FO62"")"),0)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IFERROR(__xludf.DUMMYFUNCTION("IMPORTRANGE(""https://docs.google.com/spreadsheets/d/1MeEWN-I1oV_STSDYn1IFDPWt_1FKiwhDph83XaGc0o0/edit?usp=sharing"",""งบพรบ!FQ62"")"),0)</f>
        <v>0</v>
      </c>
      <c r="M407" s="90">
        <f ca="1">IFERROR(__xludf.DUMMYFUNCTION("IMPORTRANGE(""https://docs.google.com/spreadsheets/d/1MeEWN-I1oV_STSDYn1IFDPWt_1FKiwhDph83XaGc0o0/edit?usp=sharing"",""งบพรบ!FV62"")"),0)</f>
        <v>0</v>
      </c>
      <c r="N407" s="90">
        <f ca="1">IFERROR(__xludf.DUMMYFUNCTION("IMPORTRANGE(""https://docs.google.com/spreadsheets/d/1MeEWN-I1oV_STSDYn1IFDPWt_1FKiwhDph83XaGc0o0/edit?usp=sharing"",""งบพรบ!FX62"")"),0)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IFERROR(__xludf.DUMMYFUNCTION("IMPORTRANGE(""https://docs.google.com/spreadsheets/d/1MeEWN-I1oV_STSDYn1IFDPWt_1FKiwhDph83XaGc0o0/edit?usp=sharing"",""งบพรบ!FT62"")"),0)</f>
        <v>0</v>
      </c>
      <c r="M410" s="90">
        <f ca="1">IFERROR(__xludf.DUMMYFUNCTION("IMPORTRANGE(""https://docs.google.com/spreadsheets/d/1MeEWN-I1oV_STSDYn1IFDPWt_1FKiwhDph83XaGc0o0/edit?usp=sharing"",""งบพรบ!FW62"")"),0)</f>
        <v>0</v>
      </c>
      <c r="N410" s="90">
        <f ca="1">IFERROR(__xludf.DUMMYFUNCTION("IMPORTRANGE(""https://docs.google.com/spreadsheets/d/1MeEWN-I1oV_STSDYn1IFDPWt_1FKiwhDph83XaGc0o0/edit?usp=sharing"",""งบพรบ!FY62"")"),0)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1052935</v>
      </c>
      <c r="M414" s="546">
        <f t="shared" si="180"/>
        <v>0</v>
      </c>
      <c r="N414" s="546">
        <f t="shared" si="180"/>
        <v>50610</v>
      </c>
      <c r="O414" s="546">
        <f ca="1">IF(L414&gt;0,N414*100/L414,0)</f>
        <v>4.8065645077806325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15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66560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66560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66560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IFERROR(__xludf.DUMMYFUNCTION("IMPORTRANGE(""https://docs.google.com/spreadsheets/d/1QqKyyYR6Q21VydFLVH3TRQUabQu_ym0Zz7PgGX0-kHA/edit?usp=sharing"",""แผน!EY62"")"),66560)</f>
        <v>66560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IFERROR(__xludf.DUMMYFUNCTION("IMPORTRANGE(""https://docs.google.com/spreadsheets/d/1QqKyyYR6Q21VydFLVH3TRQUabQu_ym0Zz7PgGX0-kHA/edit?usp=sharing"",""แผน!FB62"")"),0)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15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IFERROR(__xludf.DUMMYFUNCTION("IMPORTRANGE(""https://docs.google.com/spreadsheets/d/1QqKyyYR6Q21VydFLVH3TRQUabQu_ym0Zz7PgGX0-kHA/edit?usp=sharing"",""แผน!FC62"")"),15)</f>
        <v>15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IFERROR(__xludf.DUMMYFUNCTION("IMPORTRANGE(""https://docs.google.com/spreadsheets/d/1QqKyyYR6Q21VydFLVH3TRQUabQu_ym0Zz7PgGX0-kHA/edit?usp=sharing"",""แผน!FD62"")"),0)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IFERROR(__xludf.DUMMYFUNCTION("IMPORTRANGE(""https://docs.google.com/spreadsheets/d/1QqKyyYR6Q21VydFLVH3TRQUabQu_ym0Zz7PgGX0-kHA/edit?usp=sharing"",""แผน!FE62"")"),0)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IFERROR(__xludf.DUMMYFUNCTION("IMPORTRANGE(""https://docs.google.com/spreadsheets/d/1QqKyyYR6Q21VydFLVH3TRQUabQu_ym0Zz7PgGX0-kHA/edit?usp=sharing"",""แผน!FF62"")"),15)</f>
        <v>15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IFERROR(__xludf.DUMMYFUNCTION("IMPORTRANGE(""https://docs.google.com/spreadsheets/d/1QqKyyYR6Q21VydFLVH3TRQUabQu_ym0Zz7PgGX0-kHA/edit?usp=sharing"",""แผน!FG62"")"),1)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IFERROR(__xludf.DUMMYFUNCTION("IMPORTRANGE(""https://docs.google.com/spreadsheets/d/1QqKyyYR6Q21VydFLVH3TRQUabQu_ym0Zz7PgGX0-kHA/edit?usp=sharing"",""แผน!FH62"")"),0)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IFERROR(__xludf.DUMMYFUNCTION("IMPORTRANGE(""https://docs.google.com/spreadsheets/d/1QqKyyYR6Q21VydFLVH3TRQUabQu_ym0Zz7PgGX0-kHA/edit?usp=sharing"",""แผน!FJ62"")"),0)</f>
        <v>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IFERROR(__xludf.DUMMYFUNCTION("IMPORTRANGE(""https://docs.google.com/spreadsheets/d/1QqKyyYR6Q21VydFLVH3TRQUabQu_ym0Zz7PgGX0-kHA/edit?usp=sharing"",""แผน!FM62"")"),0)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IFERROR(__xludf.DUMMYFUNCTION("IMPORTRANGE(""https://docs.google.com/spreadsheets/d/1QqKyyYR6Q21VydFLVH3TRQUabQu_ym0Zz7PgGX0-kHA/edit?usp=sharing"",""แผน!FN62"")"),0)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IFERROR(__xludf.DUMMYFUNCTION("IMPORTRANGE(""https://docs.google.com/spreadsheets/d/1QqKyyYR6Q21VydFLVH3TRQUabQu_ym0Zz7PgGX0-kHA/edit?usp=sharing"",""แผน!FO62"")"),0)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IFERROR(__xludf.DUMMYFUNCTION("IMPORTRANGE(""https://docs.google.com/spreadsheets/d/1QqKyyYR6Q21VydFLVH3TRQUabQu_ym0Zz7PgGX0-kHA/edit?usp=sharing"",""แผน!FO62"")"),0)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IFERROR(__xludf.DUMMYFUNCTION("IMPORTRANGE(""https://docs.google.com/spreadsheets/d/1QqKyyYR6Q21VydFLVH3TRQUabQu_ym0Zz7PgGX0-kHA/edit?usp=sharing"",""แผน!FN62"")"),0)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IFERROR(__xludf.DUMMYFUNCTION("IMPORTRANGE(""https://docs.google.com/spreadsheets/d/1QqKyyYR6Q21VydFLVH3TRQUabQu_ym0Zz7PgGX0-kHA/edit?usp=sharing"",""แผน!FX62"")"),51)</f>
        <v>51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IFERROR(__xludf.DUMMYFUNCTION("IMPORTRANGE(""https://docs.google.com/spreadsheets/d/1QqKyyYR6Q21VydFLVH3TRQUabQu_ym0Zz7PgGX0-kHA/edit?usp=sharing"",""แผน!FW62"")"),500)</f>
        <v>500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403983</v>
      </c>
      <c r="M467" s="191">
        <f t="shared" si="205"/>
        <v>0</v>
      </c>
      <c r="N467" s="191">
        <f t="shared" si="205"/>
        <v>9870</v>
      </c>
      <c r="O467" s="191">
        <f t="shared" ref="O467:O472" ca="1" si="206">IF(L467&gt;0,N467*100/L467,0)</f>
        <v>2.4431721136780506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403983</v>
      </c>
      <c r="M469" s="90">
        <f t="shared" si="208"/>
        <v>0</v>
      </c>
      <c r="N469" s="90">
        <f t="shared" si="208"/>
        <v>9870</v>
      </c>
      <c r="O469" s="90">
        <f t="shared" ca="1" si="206"/>
        <v>2.4431721136780506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403983</v>
      </c>
      <c r="M470" s="495">
        <f t="shared" si="209"/>
        <v>0</v>
      </c>
      <c r="N470" s="495">
        <f t="shared" si="209"/>
        <v>9870</v>
      </c>
      <c r="O470" s="495">
        <f t="shared" ca="1" si="206"/>
        <v>2.4431721136780506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IFERROR(__xludf.DUMMYFUNCTION("IMPORTRANGE(""https://docs.google.com/spreadsheets/d/1QqKyyYR6Q21VydFLVH3TRQUabQu_ym0Zz7PgGX0-kHA/edit?usp=sharing"",""แผน!FS62"")"),403983)</f>
        <v>403983</v>
      </c>
      <c r="M472" s="90">
        <v>0</v>
      </c>
      <c r="N472" s="90">
        <f>N473+N474+N475+N476</f>
        <v>9870</v>
      </c>
      <c r="O472" s="90">
        <f t="shared" ca="1" si="206"/>
        <v>2.4431721136780506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9870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IFERROR(__xludf.DUMMYFUNCTION("IMPORTRANGE(""https://docs.google.com/spreadsheets/d/1QqKyyYR6Q21VydFLVH3TRQUabQu_ym0Zz7PgGX0-kHA/edit?usp=sharing"",""แผน!FV62"")"),0)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IFERROR(__xludf.DUMMYFUNCTION("IMPORTRANGE(""https://docs.google.com/spreadsheets/d/1QqKyyYR6Q21VydFLVH3TRQUabQu_ym0Zz7PgGX0-kHA/edit?usp=sharing"",""แผน!FY62"")"),450)</f>
        <v>450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IFERROR(__xludf.DUMMYFUNCTION("IMPORTRANGE(""https://docs.google.com/spreadsheets/d/1QqKyyYR6Q21VydFLVH3TRQUabQu_ym0Zz7PgGX0-kHA/edit?usp=sharing"",""แผน!FZ62"")"),45)</f>
        <v>45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IFERROR(__xludf.DUMMYFUNCTION("IMPORTRANGE(""https://docs.google.com/spreadsheets/d/1QqKyyYR6Q21VydFLVH3TRQUabQu_ym0Zz7PgGX0-kHA/edit?usp=sharing"",""แผน!GA62"")"),50)</f>
        <v>50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IFERROR(__xludf.DUMMYFUNCTION("IMPORTRANGE(""https://docs.google.com/spreadsheets/d/1QqKyyYR6Q21VydFLVH3TRQUabQu_ym0Zz7PgGX0-kHA/edit?usp=sharing"",""แผน!GB62"")"),5)</f>
        <v>5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/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IFERROR(__xludf.DUMMYFUNCTION("IMPORTRANGE(""https://docs.google.com/spreadsheets/d/1QqKyyYR6Q21VydFLVH3TRQUabQu_ym0Zz7PgGX0-kHA/edit?usp=sharing"",""แผน!GC62"")"),1)</f>
        <v>1</v>
      </c>
      <c r="J492" s="210"/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IFERROR(__xludf.DUMMYFUNCTION("IMPORTRANGE(""https://docs.google.com/spreadsheets/d/1QqKyyYR6Q21VydFLVH3TRQUabQu_ym0Zz7PgGX0-kHA/edit?usp=sharing"",""แผน!FY62"")"),450)</f>
        <v>450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IFERROR(__xludf.DUMMYFUNCTION("IMPORTRANGE(""https://docs.google.com/spreadsheets/d/1QqKyyYR6Q21VydFLVH3TRQUabQu_ym0Zz7PgGX0-kHA/edit?usp=sharing"",""แผน!GA62"")"),50)</f>
        <v>50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IFERROR(__xludf.DUMMYFUNCTION("IMPORTRANGE(""https://docs.google.com/spreadsheets/d/1QqKyyYR6Q21VydFLVH3TRQUabQu_ym0Zz7PgGX0-kHA/edit?usp=sharing"",""แผน!GQ62"")"),0)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IFERROR(__xludf.DUMMYFUNCTION("IMPORTRANGE(""https://docs.google.com/spreadsheets/d/1QqKyyYR6Q21VydFLVH3TRQUabQu_ym0Zz7PgGX0-kHA/edit?usp=sharing"",""แผน!GT62"")"),0)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IFERROR(__xludf.DUMMYFUNCTION("IMPORTRANGE(""https://docs.google.com/spreadsheets/d/1QqKyyYR6Q21VydFLVH3TRQUabQu_ym0Zz7PgGX0-kHA/edit?usp=sharing"",""แผน!GU62"")"),0)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IFERROR(__xludf.DUMMYFUNCTION("IMPORTRANGE(""https://docs.google.com/spreadsheets/d/1QqKyyYR6Q21VydFLVH3TRQUabQu_ym0Zz7PgGX0-kHA/edit?usp=sharing"",""แผน!GV62"")"),0)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IFERROR(__xludf.DUMMYFUNCTION("IMPORTRANGE(""https://docs.google.com/spreadsheets/d/1QqKyyYR6Q21VydFLVH3TRQUabQu_ym0Zz7PgGX0-kHA/edit?usp=sharing"",""แผน!GW62"")"),0)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IFERROR(__xludf.DUMMYFUNCTION("IMPORTRANGE(""https://docs.google.com/spreadsheets/d/1QqKyyYR6Q21VydFLVH3TRQUabQu_ym0Zz7PgGX0-kHA/edit?usp=sharing"",""แผน!GX62"")"),0)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IFERROR(__xludf.DUMMYFUNCTION("IMPORTRANGE(""https://docs.google.com/spreadsheets/d/1QqKyyYR6Q21VydFLVH3TRQUabQu_ym0Zz7PgGX0-kHA/edit?usp=sharing"",""แผน!GY62"")"),0)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IFERROR(__xludf.DUMMYFUNCTION("IMPORTRANGE(""https://docs.google.com/spreadsheets/d/1QqKyyYR6Q21VydFLVH3TRQUabQu_ym0Zz7PgGX0-kHA/edit?usp=sharing"",""แผน!GZ62"")"),0)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18118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252762</v>
      </c>
      <c r="M544" s="151">
        <f t="shared" si="235"/>
        <v>0</v>
      </c>
      <c r="N544" s="151">
        <f t="shared" si="235"/>
        <v>40740</v>
      </c>
      <c r="O544" s="151">
        <f t="shared" ref="O544:O549" ca="1" si="236">IF(L544&gt;0,N544*100/L544,0)</f>
        <v>16.117929119092267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252762</v>
      </c>
      <c r="M546" s="90">
        <f t="shared" si="239"/>
        <v>0</v>
      </c>
      <c r="N546" s="90">
        <f t="shared" si="239"/>
        <v>40740</v>
      </c>
      <c r="O546" s="90">
        <f t="shared" ca="1" si="236"/>
        <v>16.117929119092267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252762</v>
      </c>
      <c r="M547" s="495">
        <f t="shared" si="240"/>
        <v>0</v>
      </c>
      <c r="N547" s="495">
        <f t="shared" si="240"/>
        <v>40740</v>
      </c>
      <c r="O547" s="495">
        <f t="shared" ca="1" si="236"/>
        <v>16.117929119092267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IFERROR(__xludf.DUMMYFUNCTION("IMPORTRANGE(""https://docs.google.com/spreadsheets/d/1QqKyyYR6Q21VydFLVH3TRQUabQu_ym0Zz7PgGX0-kHA/edit?usp=sharing"",""แผน!HB62"")"),252762)</f>
        <v>252762</v>
      </c>
      <c r="M549" s="90">
        <v>0</v>
      </c>
      <c r="N549" s="90">
        <f>N550+N551+N552+N553+N554</f>
        <v>40740</v>
      </c>
      <c r="O549" s="90">
        <f t="shared" ca="1" si="236"/>
        <v>16.117929119092267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13000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27740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IFERROR(__xludf.DUMMYFUNCTION("IMPORTRANGE(""https://docs.google.com/spreadsheets/d/1QqKyyYR6Q21VydFLVH3TRQUabQu_ym0Zz7PgGX0-kHA/edit?usp=sharing"",""แผน!HF62"")"),0)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18118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IFERROR(__xludf.DUMMYFUNCTION("IMPORTRANGE(""https://docs.google.com/spreadsheets/d/1QqKyyYR6Q21VydFLVH3TRQUabQu_ym0Zz7PgGX0-kHA/edit?usp=sharing"",""แผน!HH62"")"),18118)</f>
        <v>18118</v>
      </c>
      <c r="J560" s="189">
        <f t="shared" ref="J560:J561" si="246">J562+J564+J566</f>
        <v>18118</v>
      </c>
      <c r="K560" s="409">
        <f t="shared" ca="1" si="245"/>
        <v>100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IFERROR(__xludf.DUMMYFUNCTION("IMPORTRANGE(""https://docs.google.com/spreadsheets/d/1QqKyyYR6Q21VydFLVH3TRQUabQu_ym0Zz7PgGX0-kHA/edit?usp=sharing"",""แผน!HG62"")"),1162)</f>
        <v>1162</v>
      </c>
      <c r="J561" s="189">
        <f t="shared" si="246"/>
        <v>1162</v>
      </c>
      <c r="K561" s="409">
        <f t="shared" ca="1" si="245"/>
        <v>100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12704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895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4966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228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448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39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IFERROR(__xludf.DUMMYFUNCTION("IMPORTRANGE(""https://docs.google.com/spreadsheets/d/1QqKyyYR6Q21VydFLVH3TRQUabQu_ym0Zz7PgGX0-kHA/edit?usp=sharing"",""แผน!HH62"")"),18118)</f>
        <v>18118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IFERROR(__xludf.DUMMYFUNCTION("IMPORTRANGE(""https://docs.google.com/spreadsheets/d/1QqKyyYR6Q21VydFLVH3TRQUabQu_ym0Zz7PgGX0-kHA/edit?usp=sharing"",""แผน!HG62"")"),1162)</f>
        <v>1162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IFERROR(__xludf.DUMMYFUNCTION("IMPORTRANGE(""https://docs.google.com/spreadsheets/d/1QqKyyYR6Q21VydFLVH3TRQUabQu_ym0Zz7PgGX0-kHA/edit?usp=sharing"",""แผน!HH62"")"),18118)</f>
        <v>18118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IFERROR(__xludf.DUMMYFUNCTION("IMPORTRANGE(""https://docs.google.com/spreadsheets/d/1QqKyyYR6Q21VydFLVH3TRQUabQu_ym0Zz7PgGX0-kHA/edit?usp=sharing"",""แผน!HG62"")"),1162)</f>
        <v>1162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 hidden="1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0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 hidden="1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IFERROR(__xludf.DUMMYFUNCTION("IMPORTRANGE(""https://docs.google.com/spreadsheets/d/1QqKyyYR6Q21VydFLVH3TRQUabQu_ym0Zz7PgGX0-kHA/edit?usp=sharing"",""แผน!HJ62"")"),0)</f>
        <v>0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 hidden="1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IFERROR(__xludf.DUMMYFUNCTION("IMPORTRANGE(""https://docs.google.com/spreadsheets/d/1QqKyyYR6Q21VydFLVH3TRQUabQu_ym0Zz7PgGX0-kHA/edit?usp=sharing"",""แผน!HI62"")"),0)</f>
        <v>0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 hidden="1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 hidden="1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 hidden="1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 hidden="1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 hidden="1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 hidden="1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 hidden="1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 hidden="1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 hidden="1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 hidden="1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 hidden="1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 hidden="1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 hidden="1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 hidden="1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 hidden="1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 hidden="1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IFERROR(__xludf.DUMMYFUNCTION("IMPORTRANGE(""https://docs.google.com/spreadsheets/d/1QqKyyYR6Q21VydFLVH3TRQUabQu_ym0Zz7PgGX0-kHA/edit?usp=sharing"",""แผน!HL62"")"),0)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IFERROR(__xludf.DUMMYFUNCTION("IMPORTRANGE(""https://docs.google.com/spreadsheets/d/1QqKyyYR6Q21VydFLVH3TRQUabQu_ym0Zz7PgGX0-kHA/edit?usp=sharing"",""แผน!HK62"")"),0)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60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329630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329630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329630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IFERROR(__xludf.DUMMYFUNCTION("IMPORTRANGE(""https://docs.google.com/spreadsheets/d/1QqKyyYR6Q21VydFLVH3TRQUabQu_ym0Zz7PgGX0-kHA/edit?usp=sharing"",""แผน!HN62"")"),329630)</f>
        <v>329630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IFERROR(__xludf.DUMMYFUNCTION("IMPORTRANGE(""https://docs.google.com/spreadsheets/d/1QqKyyYR6Q21VydFLVH3TRQUabQu_ym0Zz7PgGX0-kHA/edit?usp=sharing"",""แผน!HQ62"")"),0)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IFERROR(__xludf.DUMMYFUNCTION("IMPORTRANGE(""https://docs.google.com/spreadsheets/d/1QqKyyYR6Q21VydFLVH3TRQUabQu_ym0Zz7PgGX0-kHA/edit?usp=sharing"",""แผน!HR62"")"),0)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IFERROR(__xludf.DUMMYFUNCTION("IMPORTRANGE(""https://docs.google.com/spreadsheets/d/1QqKyyYR6Q21VydFLVH3TRQUabQu_ym0Zz7PgGX0-kHA/edit?usp=sharing"",""แผน!HR62"")"),0)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IFERROR(__xludf.DUMMYFUNCTION("IMPORTRANGE(""https://docs.google.com/spreadsheets/d/1XWAQStnk-4SwqDmLtmXYiTMKHgktTP8We1SCoS47DrQ/edit?usp=sharing"",""จัดที่ดิน!AS62"")"),0)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IFERROR(__xludf.DUMMYFUNCTION("IMPORTRANGE(""https://docs.google.com/spreadsheets/d/1XWAQStnk-4SwqDmLtmXYiTMKHgktTP8We1SCoS47DrQ/edit?usp=sharing"",""จัดที่ดิน!AT62"")"),0)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IFERROR(__xludf.DUMMYFUNCTION("IMPORTRANGE(""https://docs.google.com/spreadsheets/d/1QqKyyYR6Q21VydFLVH3TRQUabQu_ym0Zz7PgGX0-kHA/edit?usp=sharing"",""แผน!HS62"")"),60)</f>
        <v>60</v>
      </c>
      <c r="J647" s="264">
        <f ca="1">IFERROR(__xludf.DUMMYFUNCTION("IMPORTRANGE(""https://docs.google.com/spreadsheets/d/1XWAQStnk-4SwqDmLtmXYiTMKHgktTP8We1SCoS47DrQ/edit?usp=sharing"",""จัดที่ดิน!AU62"")"),0)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IFERROR(__xludf.DUMMYFUNCTION("IMPORTRANGE(""https://docs.google.com/spreadsheets/d/1XWAQStnk-4SwqDmLtmXYiTMKHgktTP8We1SCoS47DrQ/edit?usp=sharing"",""จัดที่ดิน!AV62"")"),0)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IFERROR(__xludf.DUMMYFUNCTION("IMPORTRANGE(""https://docs.google.com/spreadsheets/d/1QqKyyYR6Q21VydFLVH3TRQUabQu_ym0Zz7PgGX0-kHA/edit?usp=sharing"",""แผน!HS62"")"),60)</f>
        <v>60</v>
      </c>
      <c r="J649" s="264">
        <f ca="1">IFERROR(__xludf.DUMMYFUNCTION("IMPORTRANGE(""https://docs.google.com/spreadsheets/d/1XWAQStnk-4SwqDmLtmXYiTMKHgktTP8We1SCoS47DrQ/edit?usp=sharing"",""จัดที่ดิน!AW62"")"),0)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IFERROR(__xludf.DUMMYFUNCTION("IMPORTRANGE(""https://docs.google.com/spreadsheets/d/1XWAQStnk-4SwqDmLtmXYiTMKHgktTP8We1SCoS47DrQ/edit?usp=sharing"",""จัดที่ดิน!AX62"")"),0)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IFERROR(__xludf.DUMMYFUNCTION("IMPORTRANGE(""https://docs.google.com/spreadsheets/d/1QqKyyYR6Q21VydFLVH3TRQUabQu_ym0Zz7PgGX0-kHA/edit?usp=sharing"",""แผน!HS62"")"),60)</f>
        <v>60</v>
      </c>
      <c r="J651" s="264">
        <f ca="1">IFERROR(__xludf.DUMMYFUNCTION("IMPORTRANGE(""https://docs.google.com/spreadsheets/d/1XWAQStnk-4SwqDmLtmXYiTMKHgktTP8We1SCoS47DrQ/edit?usp=sharing"",""จัดที่ดิน!AY62"")"),0)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IFERROR(__xludf.DUMMYFUNCTION("IMPORTRANGE(""https://docs.google.com/spreadsheets/d/1XWAQStnk-4SwqDmLtmXYiTMKHgktTP8We1SCoS47DrQ/edit?usp=sharing"",""จัดที่ดิน!AZ62"")"),0)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 hidden="1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 hidden="1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 hidden="1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 hidden="1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IFERROR(__xludf.DUMMYFUNCTION("IMPORTRANGE(""https://docs.google.com/spreadsheets/d/1QqKyyYR6Q21VydFLVH3TRQUabQu_ym0Zz7PgGX0-kHA/edit?usp=sharing"",""แผน!HV62"")"),0)</f>
        <v>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 hidden="1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 hidden="1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 hidden="1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 hidden="1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 hidden="1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 hidden="1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 hidden="1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IFERROR(__xludf.DUMMYFUNCTION("IMPORTRANGE(""https://docs.google.com/spreadsheets/d/1QqKyyYR6Q21VydFLVH3TRQUabQu_ym0Zz7PgGX0-kHA/edit?usp=sharing"",""แผน!IA62"")"),0)</f>
        <v>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 hidden="1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IFERROR(__xludf.DUMMYFUNCTION("IMPORTRANGE(""https://docs.google.com/spreadsheets/d/1QqKyyYR6Q21VydFLVH3TRQUabQu_ym0Zz7PgGX0-kHA/edit?usp=sharing"",""แผน!HZ62"")"),0)</f>
        <v>0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 hidden="1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IFERROR(__xludf.DUMMYFUNCTION("IMPORTRANGE(""https://docs.google.com/spreadsheets/d/1QqKyyYR6Q21VydFLVH3TRQUabQu_ym0Zz7PgGX0-kHA/edit?usp=sharing"",""แผน!HZ62"")"),0)</f>
        <v>0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 hidden="1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 hidden="1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 hidden="1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 hidden="1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 hidden="1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 hidden="1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 hidden="1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IFERROR(__xludf.DUMMYFUNCTION("IMPORTRANGE(""https://docs.google.com/spreadsheets/d/1QqKyyYR6Q21VydFLVH3TRQUabQu_ym0Zz7PgGX0-kHA/edit?usp=sharing"",""แผน!IB62"")"),0)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 hidden="1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 hidden="1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 hidden="1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 hidden="1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 hidden="1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 hidden="1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 hidden="1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 hidden="1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IFERROR(__xludf.DUMMYFUNCTION("IMPORTRANGE(""https://docs.google.com/spreadsheets/d/1QqKyyYR6Q21VydFLVH3TRQUabQu_ym0Zz7PgGX0-kHA/edit?usp=sharing"",""แผน!HW62"")"),0)</f>
        <v>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 hidden="1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 hidden="1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 hidden="1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 hidden="1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 hidden="1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 hidden="1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 hidden="1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IFERROR(__xludf.DUMMYFUNCTION("IMPORTRANGE(""https://docs.google.com/spreadsheets/d/1QqKyyYR6Q21VydFLVH3TRQUabQu_ym0Zz7PgGX0-kHA/edit?usp=sharing"",""แผน!IC62"")"),0)</f>
        <v>0</v>
      </c>
      <c r="J699" s="264">
        <f ca="1">IFERROR(__xludf.DUMMYFUNCTION("IMPORTRANGE(""https://docs.google.com/spreadsheets/d/1XWAQStnk-4SwqDmLtmXYiTMKHgktTP8We1SCoS47DrQ/edit?usp=sharing"",""จัดที่ดิน!BB62"")"),0)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 hidden="1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IFERROR(__xludf.DUMMYFUNCTION("IMPORTRANGE(""https://docs.google.com/spreadsheets/d/1QqKyyYR6Q21VydFLVH3TRQUabQu_ym0Zz7PgGX0-kHA/edit?usp=sharing"",""แผน!ID62"")"),0)</f>
        <v>0</v>
      </c>
      <c r="J700" s="264">
        <f ca="1">IFERROR(__xludf.DUMMYFUNCTION("IMPORTRANGE(""https://docs.google.com/spreadsheets/d/1XWAQStnk-4SwqDmLtmXYiTMKHgktTP8We1SCoS47DrQ/edit?usp=sharing"",""จัดที่ดิน!BD62"")"),0)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 hidden="1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IFERROR(__xludf.DUMMYFUNCTION("IMPORTRANGE(""https://docs.google.com/spreadsheets/d/1QqKyyYR6Q21VydFLVH3TRQUabQu_ym0Zz7PgGX0-kHA/edit?usp=sharing"",""แผน!IE62"")"),0)</f>
        <v>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 hidden="1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 hidden="1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 hidden="1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IFERROR(__xludf.DUMMYFUNCTION("IMPORTRANGE(""https://docs.google.com/spreadsheets/d/1QqKyyYR6Q21VydFLVH3TRQUabQu_ym0Zz7PgGX0-kHA/edit?usp=sharing"",""แผน!IF62"")"),0)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 hidden="1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 hidden="1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 hidden="1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IFERROR(__xludf.DUMMYFUNCTION("IMPORTRANGE(""https://docs.google.com/spreadsheets/d/1QqKyyYR6Q21VydFLVH3TRQUabQu_ym0Zz7PgGX0-kHA/edit?usp=sharing"",""แผน!IG62"")"),0)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 hidden="1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IFERROR(__xludf.DUMMYFUNCTION("IMPORTRANGE(""https://docs.google.com/spreadsheets/d/1QqKyyYR6Q21VydFLVH3TRQUabQu_ym0Zz7PgGX0-kHA/edit?usp=sharing"",""แผน!IH62"")"),0)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 hidden="1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 hidden="1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 hidden="1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 hidden="1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 hidden="1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 hidden="1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 hidden="1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 hidden="1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 hidden="1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 hidden="1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IFERROR(__xludf.DUMMYFUNCTION("IMPORTRANGE(""https://docs.google.com/spreadsheets/d/1XWAQStnk-4SwqDmLtmXYiTMKHgktTP8We1SCoS47DrQ/edit?usp=sharing"",""จัดที่ดิน!BF62"")"),0)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 hidden="1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IFERROR(__xludf.DUMMYFUNCTION("IMPORTRANGE(""https://docs.google.com/spreadsheets/d/1XWAQStnk-4SwqDmLtmXYiTMKHgktTP8We1SCoS47DrQ/edit?usp=sharing"",""จัดที่ดิน!BG62"")"),0)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 hidden="1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IFERROR(__xludf.DUMMYFUNCTION("IMPORTRANGE(""https://docs.google.com/spreadsheets/d/1QqKyyYR6Q21VydFLVH3TRQUabQu_ym0Zz7PgGX0-kHA/edit?usp=sharing"",""แผน!II62"")"),0)</f>
        <v>0</v>
      </c>
      <c r="J720" s="264">
        <f ca="1">IFERROR(__xludf.DUMMYFUNCTION("IMPORTRANGE(""https://docs.google.com/spreadsheets/d/1XWAQStnk-4SwqDmLtmXYiTMKHgktTP8We1SCoS47DrQ/edit?usp=sharing"",""จัดที่ดิน!BH62"")"),0)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 hidden="1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IFERROR(__xludf.DUMMYFUNCTION("IMPORTRANGE(""https://docs.google.com/spreadsheets/d/1QqKyyYR6Q21VydFLVH3TRQUabQu_ym0Zz7PgGX0-kHA/edit?usp=sharing"",""แผน!IJ62"")"),0)</f>
        <v>0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 hidden="1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IFERROR(__xludf.DUMMYFUNCTION("IMPORTRANGE(""https://docs.google.com/spreadsheets/d/1QqKyyYR6Q21VydFLVH3TRQUabQu_ym0Zz7PgGX0-kHA/edit?usp=sharing"",""แผน!IK62"")"),0)</f>
        <v>0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 hidden="1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IFERROR(__xludf.DUMMYFUNCTION("IMPORTRANGE(""https://docs.google.com/spreadsheets/d/1QqKyyYR6Q21VydFLVH3TRQUabQu_ym0Zz7PgGX0-kHA/edit?usp=sharing"",""แผน!IL62"")"),0)</f>
        <v>0</v>
      </c>
      <c r="J723" s="264">
        <f ca="1">IFERROR(__xludf.DUMMYFUNCTION("IMPORTRANGE(""https://docs.google.com/spreadsheets/d/1XWAQStnk-4SwqDmLtmXYiTMKHgktTP8We1SCoS47DrQ/edit?usp=sharing"",""จัดที่ดิน!BM62"")"),0)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 hidden="1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IFERROR(__xludf.DUMMYFUNCTION("IMPORTRANGE(""https://docs.google.com/spreadsheets/d/1XWAQStnk-4SwqDmLtmXYiTMKHgktTP8We1SCoS47DrQ/edit?usp=sharing"",""จัดที่ดิน!BN62"")"),0)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 hidden="1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IFERROR(__xludf.DUMMYFUNCTION("IMPORTRANGE(""https://docs.google.com/spreadsheets/d/1QqKyyYR6Q21VydFLVH3TRQUabQu_ym0Zz7PgGX0-kHA/edit?usp=sharing"",""แผน!IM62"")"),0)</f>
        <v>0</v>
      </c>
      <c r="J725" s="264">
        <f ca="1">IFERROR(__xludf.DUMMYFUNCTION("IMPORTRANGE(""https://docs.google.com/spreadsheets/d/1XWAQStnk-4SwqDmLtmXYiTMKHgktTP8We1SCoS47DrQ/edit?usp=sharing"",""จัดที่ดิน!BO62"")"),0)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 hidden="1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IFERROR(__xludf.DUMMYFUNCTION("IMPORTRANGE(""https://docs.google.com/spreadsheets/d/1QqKyyYR6Q21VydFLVH3TRQUabQu_ym0Zz7PgGX0-kHA/edit?usp=sharing"",""แผน!IN62"")"),0)</f>
        <v>0</v>
      </c>
      <c r="J726" s="264">
        <f ca="1">IFERROR(__xludf.DUMMYFUNCTION("IMPORTRANGE(""https://docs.google.com/spreadsheets/d/1XWAQStnk-4SwqDmLtmXYiTMKHgktTP8We1SCoS47DrQ/edit?usp=sharing"",""จัดที่ดิน!BR62"")"),0)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 hidden="1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IFERROR(__xludf.DUMMYFUNCTION("IMPORTRANGE(""https://docs.google.com/spreadsheets/d/1XWAQStnk-4SwqDmLtmXYiTMKHgktTP8We1SCoS47DrQ/edit?usp=sharing"",""จัดที่ดิน!BS62"")"),0)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 hidden="1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IFERROR(__xludf.DUMMYFUNCTION("IMPORTRANGE(""https://docs.google.com/spreadsheets/d/1QqKyyYR6Q21VydFLVH3TRQUabQu_ym0Zz7PgGX0-kHA/edit?usp=sharing"",""แผน!IO62"")"),0)</f>
        <v>0</v>
      </c>
      <c r="J728" s="264">
        <f ca="1">IFERROR(__xludf.DUMMYFUNCTION("IMPORTRANGE(""https://docs.google.com/spreadsheets/d/1XWAQStnk-4SwqDmLtmXYiTMKHgktTP8We1SCoS47DrQ/edit?usp=sharing"",""จัดที่ดิน!BT62"")"),0)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 hidden="1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IFERROR(__xludf.DUMMYFUNCTION("IMPORTRANGE(""https://docs.google.com/spreadsheets/d/1QqKyyYR6Q21VydFLVH3TRQUabQu_ym0Zz7PgGX0-kHA/edit?usp=sharing"",""แผน!IP62"")"),0)</f>
        <v>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 hidden="1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 hidden="1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 hidden="1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 hidden="1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 hidden="1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 hidden="1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IFERROR(__xludf.DUMMYFUNCTION("IMPORTRANGE(""https://docs.google.com/spreadsheets/d/1QqKyyYR6Q21VydFLVH3TRQUabQu_ym0Zz7PgGX0-kHA/edit?usp=sharing"",""แผน!JJ62"")"),0)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IFERROR(__xludf.DUMMYFUNCTION("IMPORTRANGE(""https://docs.google.com/spreadsheets/d/1QqKyyYR6Q21VydFLVH3TRQUabQu_ym0Zz7PgGX0-kHA/edit?usp=sharing"",""แผน!JN62"")"),0)</f>
        <v>0</v>
      </c>
      <c r="J800" s="180">
        <f ca="1">IFERROR(__xludf.DUMMYFUNCTION("IMPORTRANGE(""https://docs.google.com/spreadsheets/d/1MaWodYyGHDf7siQLGxnXhG4mBNTNIuy296niS2xXulU/edit?usp=sharing"",""RTK!H62"")"),0)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IFERROR(__xludf.DUMMYFUNCTION("IMPORTRANGE(""https://docs.google.com/spreadsheets/d/1MaWodYyGHDf7siQLGxnXhG4mBNTNIuy296niS2xXulU/edit?usp=sharing"",""RTK!I62"")"),0)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264">
        <f ca="1">IFERROR(__xludf.DUMMYFUNCTION("IMPORTRANGE(""https://docs.google.com/spreadsheets/d/19vJNZY_5yjcGF2XGBMNZRCAIB0Kwfpjp8YEOfu-bneM/edit?usp=sharing"",""งานกองทุน!F62"")"),0)</f>
        <v>0</v>
      </c>
      <c r="K821" s="495">
        <f t="shared" ref="K821:K828" ca="1" si="334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IFERROR(__xludf.DUMMYFUNCTION("IMPORTRANGE(""https://docs.google.com/spreadsheets/d/19vJNZY_5yjcGF2XGBMNZRCAIB0Kwfpjp8YEOfu-bneM/edit?usp=sharing"",""งานกองทุน!C62"")"),141)</f>
        <v>141</v>
      </c>
      <c r="J822" s="264">
        <f ca="1">IFERROR(__xludf.DUMMYFUNCTION("IMPORTRANGE(""https://docs.google.com/spreadsheets/d/19vJNZY_5yjcGF2XGBMNZRCAIB0Kwfpjp8YEOfu-bneM/edit?usp=sharing"",""งานกองทุน!E62"")"),0)</f>
        <v>0</v>
      </c>
      <c r="K822" s="495">
        <f t="shared" ca="1" si="334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264">
        <f ca="1">IFERROR(__xludf.DUMMYFUNCTION("IMPORTRANGE(""https://docs.google.com/spreadsheets/d/19vJNZY_5yjcGF2XGBMNZRCAIB0Kwfpjp8YEOfu-bneM/edit?usp=sharing"",""งานกองทุน!K62"")"),0)</f>
        <v>0</v>
      </c>
      <c r="K823" s="495">
        <f t="shared" ca="1" si="334"/>
        <v>0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IFERROR(__xludf.DUMMYFUNCTION("IMPORTRANGE(""https://docs.google.com/spreadsheets/d/19vJNZY_5yjcGF2XGBMNZRCAIB0Kwfpjp8YEOfu-bneM/edit?usp=sharing"",""งานกองทุน!H62"")"),16)</f>
        <v>16</v>
      </c>
      <c r="J824" s="264">
        <f ca="1">IFERROR(__xludf.DUMMYFUNCTION("IMPORTRANGE(""https://docs.google.com/spreadsheets/d/19vJNZY_5yjcGF2XGBMNZRCAIB0Kwfpjp8YEOfu-bneM/edit?usp=sharing"",""งานกองทุน!J62"")"),0)</f>
        <v>0</v>
      </c>
      <c r="K824" s="495">
        <f t="shared" ca="1" si="334"/>
        <v>0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IFERROR(__xludf.DUMMYFUNCTION("IMPORTRANGE(""https://docs.google.com/spreadsheets/d/19vJNZY_5yjcGF2XGBMNZRCAIB0Kwfpjp8YEOfu-bneM/edit?usp=sharing"",""งานกองทุน!N62"")"),231.96)</f>
        <v>231.96</v>
      </c>
      <c r="J825" s="264">
        <f ca="1">IFERROR(__xludf.DUMMYFUNCTION("IMPORTRANGE(""https://docs.google.com/spreadsheets/d/19vJNZY_5yjcGF2XGBMNZRCAIB0Kwfpjp8YEOfu-bneM/edit?usp=sharing"",""งานกองทุน!P62"")"),0)</f>
        <v>0</v>
      </c>
      <c r="K825" s="495">
        <f t="shared" ca="1" si="334"/>
        <v>0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IFERROR(__xludf.DUMMYFUNCTION("IMPORTRANGE(""https://docs.google.com/spreadsheets/d/19vJNZY_5yjcGF2XGBMNZRCAIB0Kwfpjp8YEOfu-bneM/edit?usp=sharing"",""งานกองทุน!M62"")"),1)</f>
        <v>1</v>
      </c>
      <c r="J826" s="264">
        <f ca="1">IFERROR(__xludf.DUMMYFUNCTION("IMPORTRANGE(""https://docs.google.com/spreadsheets/d/19vJNZY_5yjcGF2XGBMNZRCAIB0Kwfpjp8YEOfu-bneM/edit?usp=sharing"",""งานกองทุน!O62"")"),0)</f>
        <v>0</v>
      </c>
      <c r="K826" s="495">
        <f t="shared" ca="1" si="334"/>
        <v>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IFERROR(__xludf.DUMMYFUNCTION("IMPORTRANGE(""https://docs.google.com/spreadsheets/d/19vJNZY_5yjcGF2XGBMNZRCAIB0Kwfpjp8YEOfu-bneM/edit?usp=sharing"",""งานกองทุน!S62"")"),2000000)</f>
        <v>2000000</v>
      </c>
      <c r="J827" s="264">
        <f ca="1">IFERROR(__xludf.DUMMYFUNCTION("IMPORTRANGE(""https://docs.google.com/spreadsheets/d/19vJNZY_5yjcGF2XGBMNZRCAIB0Kwfpjp8YEOfu-bneM/edit?usp=sharing"",""งานกองทุน!U62"")"),0)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IFERROR(__xludf.DUMMYFUNCTION("IMPORTRANGE(""https://docs.google.com/spreadsheets/d/19vJNZY_5yjcGF2XGBMNZRCAIB0Kwfpjp8YEOfu-bneM/edit?usp=sharing"",""งานกองทุน!R62"")"),66)</f>
        <v>66</v>
      </c>
      <c r="J828" s="498">
        <f ca="1">IFERROR(__xludf.DUMMYFUNCTION("IMPORTRANGE(""https://docs.google.com/spreadsheets/d/19vJNZY_5yjcGF2XGBMNZRCAIB0Kwfpjp8YEOfu-bneM/edit?usp=sharing"",""งานกองทุน!T62"")"),47)</f>
        <v>47</v>
      </c>
      <c r="K828" s="499">
        <f t="shared" ca="1" si="334"/>
        <v>71.212121212121218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578C-8FB9-4B50-B25C-83C422215CC7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2.570312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347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3775253</v>
      </c>
      <c r="M8" s="21">
        <f t="shared" ca="1" si="0"/>
        <v>1899880</v>
      </c>
      <c r="N8" s="21">
        <f t="shared" ca="1" si="0"/>
        <v>1179579.2</v>
      </c>
      <c r="O8" s="21">
        <f t="shared" ref="O8:O16" ca="1" si="1">IF(L8&gt;0,N8*100/L8,0)</f>
        <v>31.24503708758062</v>
      </c>
      <c r="P8" s="21">
        <f t="shared" ref="P8:P16" ca="1" si="2">IF(M8&gt;0,N8*100/M8,0)</f>
        <v>62.087037076025851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3775253</v>
      </c>
      <c r="M10" s="29">
        <f t="shared" ca="1" si="3"/>
        <v>1899880</v>
      </c>
      <c r="N10" s="29">
        <f t="shared" ca="1" si="3"/>
        <v>1179579.2</v>
      </c>
      <c r="O10" s="29">
        <f t="shared" ca="1" si="1"/>
        <v>31.24503708758062</v>
      </c>
      <c r="P10" s="29">
        <f t="shared" ca="1" si="2"/>
        <v>62.087037076025851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3173853</v>
      </c>
      <c r="M11" s="495">
        <f t="shared" ca="1" si="4"/>
        <v>1298480</v>
      </c>
      <c r="N11" s="495">
        <f t="shared" ca="1" si="4"/>
        <v>578179.19999999995</v>
      </c>
      <c r="O11" s="495">
        <f t="shared" ca="1" si="1"/>
        <v>18.21694955626489</v>
      </c>
      <c r="P11" s="495">
        <f t="shared" ca="1" si="2"/>
        <v>44.527385866551654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3173853</v>
      </c>
      <c r="M13" s="90">
        <f t="shared" ca="1" si="5"/>
        <v>1298480</v>
      </c>
      <c r="N13" s="90">
        <f t="shared" ca="1" si="5"/>
        <v>578179.19999999995</v>
      </c>
      <c r="O13" s="90">
        <f t="shared" ca="1" si="1"/>
        <v>18.21694955626489</v>
      </c>
      <c r="P13" s="90">
        <f t="shared" ca="1" si="2"/>
        <v>44.527385866551654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601400</v>
      </c>
      <c r="M14" s="495">
        <f t="shared" ca="1" si="6"/>
        <v>601400</v>
      </c>
      <c r="N14" s="495">
        <f t="shared" ca="1" si="6"/>
        <v>601400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601400</v>
      </c>
      <c r="M16" s="51">
        <f t="shared" ca="1" si="7"/>
        <v>601400</v>
      </c>
      <c r="N16" s="51">
        <f t="shared" ca="1" si="7"/>
        <v>601400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3051710</v>
      </c>
      <c r="M18" s="21">
        <f t="shared" ca="1" si="8"/>
        <v>1899880</v>
      </c>
      <c r="N18" s="21">
        <f t="shared" ca="1" si="8"/>
        <v>1129399.2</v>
      </c>
      <c r="O18" s="21">
        <f t="shared" ref="O18:O26" ca="1" si="9">IF(L18&gt;0,N18*100/L18,0)</f>
        <v>37.008732808818664</v>
      </c>
      <c r="P18" s="21">
        <f t="shared" ref="P18:P26" ca="1" si="10">IF(M18&gt;0,N18*100/M18,0)</f>
        <v>59.445817630587193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3051710</v>
      </c>
      <c r="M20" s="29">
        <f t="shared" ca="1" si="11"/>
        <v>1899880</v>
      </c>
      <c r="N20" s="29">
        <f t="shared" ca="1" si="11"/>
        <v>1129399.2</v>
      </c>
      <c r="O20" s="29">
        <f t="shared" ca="1" si="9"/>
        <v>37.008732808818664</v>
      </c>
      <c r="P20" s="29">
        <f t="shared" ca="1" si="10"/>
        <v>59.445817630587193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2450310</v>
      </c>
      <c r="M21" s="495">
        <f t="shared" ca="1" si="12"/>
        <v>1298480</v>
      </c>
      <c r="N21" s="495">
        <f t="shared" ca="1" si="12"/>
        <v>527999.19999999995</v>
      </c>
      <c r="O21" s="495">
        <f t="shared" ca="1" si="9"/>
        <v>21.548261240414476</v>
      </c>
      <c r="P21" s="495">
        <f t="shared" ca="1" si="10"/>
        <v>40.662867352596876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2450310</v>
      </c>
      <c r="M23" s="90">
        <f t="shared" ca="1" si="13"/>
        <v>1298480</v>
      </c>
      <c r="N23" s="90">
        <f t="shared" ca="1" si="13"/>
        <v>527999.19999999995</v>
      </c>
      <c r="O23" s="90">
        <f t="shared" ca="1" si="9"/>
        <v>21.548261240414476</v>
      </c>
      <c r="P23" s="90">
        <f t="shared" ca="1" si="10"/>
        <v>40.662867352596876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601400</v>
      </c>
      <c r="M24" s="495">
        <f t="shared" ca="1" si="14"/>
        <v>601400</v>
      </c>
      <c r="N24" s="495">
        <f t="shared" ca="1" si="14"/>
        <v>601400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601400</v>
      </c>
      <c r="M26" s="51">
        <f t="shared" ca="1" si="15"/>
        <v>601400</v>
      </c>
      <c r="N26" s="51">
        <f t="shared" ca="1" si="15"/>
        <v>601400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723543</v>
      </c>
      <c r="M28" s="21">
        <f t="shared" si="16"/>
        <v>0</v>
      </c>
      <c r="N28" s="21">
        <f t="shared" si="16"/>
        <v>50180</v>
      </c>
      <c r="O28" s="21">
        <f t="shared" ref="O28:O37" ca="1" si="17">IF(L28&gt;0,N28*100/L28,0)</f>
        <v>6.9353169058369719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723543</v>
      </c>
      <c r="M30" s="29">
        <f t="shared" si="19"/>
        <v>0</v>
      </c>
      <c r="N30" s="29">
        <f t="shared" si="19"/>
        <v>50180</v>
      </c>
      <c r="O30" s="29">
        <f t="shared" ca="1" si="17"/>
        <v>6.9353169058369719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723543</v>
      </c>
      <c r="M31" s="495">
        <f t="shared" si="20"/>
        <v>0</v>
      </c>
      <c r="N31" s="495">
        <f t="shared" si="20"/>
        <v>50180</v>
      </c>
      <c r="O31" s="495">
        <f t="shared" ca="1" si="17"/>
        <v>6.9353169058369719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723543</v>
      </c>
      <c r="M33" s="90">
        <f t="shared" si="21"/>
        <v>0</v>
      </c>
      <c r="N33" s="90">
        <f t="shared" si="21"/>
        <v>50180</v>
      </c>
      <c r="O33" s="90">
        <f t="shared" ca="1" si="17"/>
        <v>6.9353169058369719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3051710</v>
      </c>
      <c r="M37" s="57">
        <f t="shared" ca="1" si="24"/>
        <v>1899880</v>
      </c>
      <c r="N37" s="57">
        <f t="shared" ca="1" si="24"/>
        <v>1129399.2</v>
      </c>
      <c r="O37" s="57">
        <f t="shared" ca="1" si="17"/>
        <v>37.008732808818664</v>
      </c>
      <c r="P37" s="57">
        <f t="shared" ca="1" si="18"/>
        <v>59.445817630587193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313950</v>
      </c>
      <c r="M41" s="82">
        <f t="shared" ca="1" si="25"/>
        <v>157650</v>
      </c>
      <c r="N41" s="82">
        <f t="shared" ca="1" si="25"/>
        <v>36900</v>
      </c>
      <c r="O41" s="82">
        <f t="shared" ref="O41:O49" ca="1" si="26">IF(L41&gt;0,N41*100/L41,0)</f>
        <v>11.753463927376972</v>
      </c>
      <c r="P41" s="82">
        <f t="shared" ref="P41:P49" ca="1" si="27">IF(M41&gt;0,N41*100/M41,0)</f>
        <v>23.406279733587059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313950</v>
      </c>
      <c r="M43" s="89">
        <f t="shared" ca="1" si="28"/>
        <v>157650</v>
      </c>
      <c r="N43" s="89">
        <f t="shared" ca="1" si="28"/>
        <v>36900</v>
      </c>
      <c r="O43" s="89">
        <f t="shared" ca="1" si="26"/>
        <v>11.753463927376972</v>
      </c>
      <c r="P43" s="89">
        <f t="shared" ca="1" si="27"/>
        <v>23.406279733587059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313950</v>
      </c>
      <c r="M44" s="495">
        <f t="shared" ca="1" si="29"/>
        <v>157650</v>
      </c>
      <c r="N44" s="495">
        <f t="shared" ca="1" si="29"/>
        <v>36900</v>
      </c>
      <c r="O44" s="495">
        <f t="shared" ca="1" si="26"/>
        <v>11.753463927376972</v>
      </c>
      <c r="P44" s="495">
        <f t="shared" ca="1" si="27"/>
        <v>23.406279733587059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IFERROR(__xludf.DUMMYFUNCTION("IMPORTRANGE(""https://docs.google.com/spreadsheets/d/1MeEWN-I1oV_STSDYn1IFDPWt_1FKiwhDph83XaGc0o0/edit?usp=sharing"",""งบพรบ!M63"")"),313950)</f>
        <v>313950</v>
      </c>
      <c r="M46" s="90">
        <f ca="1">IFERROR(__xludf.DUMMYFUNCTION("IMPORTRANGE(""https://docs.google.com/spreadsheets/d/1MeEWN-I1oV_STSDYn1IFDPWt_1FKiwhDph83XaGc0o0/edit?usp=sharing"",""งบพรบ!R63"")"),157650)</f>
        <v>157650</v>
      </c>
      <c r="N46" s="90">
        <f ca="1">IFERROR(__xludf.DUMMYFUNCTION("IMPORTRANGE(""https://docs.google.com/spreadsheets/d/1MeEWN-I1oV_STSDYn1IFDPWt_1FKiwhDph83XaGc0o0/edit?usp=sharing"",""งบพรบ!T63"")"),36900)</f>
        <v>36900</v>
      </c>
      <c r="O46" s="90">
        <f t="shared" ca="1" si="26"/>
        <v>11.753463927376972</v>
      </c>
      <c r="P46" s="90">
        <f t="shared" ca="1" si="27"/>
        <v>23.406279733587059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IFERROR(__xludf.DUMMYFUNCTION("IMPORTRANGE(""https://docs.google.com/spreadsheets/d/1MeEWN-I1oV_STSDYn1IFDPWt_1FKiwhDph83XaGc0o0/edit?usp=sharing"",""งบพรบ!P63"")"),0)</f>
        <v>0</v>
      </c>
      <c r="M49" s="51">
        <f ca="1">IFERROR(__xludf.DUMMYFUNCTION("IMPORTRANGE(""https://docs.google.com/spreadsheets/d/1MeEWN-I1oV_STSDYn1IFDPWt_1FKiwhDph83XaGc0o0/edit?usp=sharing"",""งบพรบ!S63"")"),0)</f>
        <v>0</v>
      </c>
      <c r="N49" s="51">
        <f ca="1">IFERROR(__xludf.DUMMYFUNCTION("IMPORTRANGE(""https://docs.google.com/spreadsheets/d/1MeEWN-I1oV_STSDYn1IFDPWt_1FKiwhDph83XaGc0o0/edit?usp=sharing"",""งบพรบ!U63"")"),0)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334000</v>
      </c>
      <c r="M53" s="112">
        <f t="shared" ca="1" si="31"/>
        <v>223620</v>
      </c>
      <c r="N53" s="112">
        <f t="shared" ca="1" si="31"/>
        <v>116986.75</v>
      </c>
      <c r="O53" s="112">
        <f t="shared" ref="O53:O61" ca="1" si="32">IF(L53&gt;0,N53*100/L53,0)</f>
        <v>35.025973053892216</v>
      </c>
      <c r="P53" s="112">
        <f t="shared" ref="P53:P61" ca="1" si="33">IF(M53&gt;0,N53*100/M53,0)</f>
        <v>52.314976299078793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334000</v>
      </c>
      <c r="M55" s="119">
        <f t="shared" ca="1" si="34"/>
        <v>223620</v>
      </c>
      <c r="N55" s="119">
        <f t="shared" ca="1" si="34"/>
        <v>116986.75</v>
      </c>
      <c r="O55" s="119">
        <f t="shared" ca="1" si="32"/>
        <v>35.025973053892216</v>
      </c>
      <c r="P55" s="119">
        <f t="shared" ca="1" si="33"/>
        <v>52.314976299078793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334000</v>
      </c>
      <c r="M56" s="495">
        <f t="shared" ca="1" si="35"/>
        <v>223620</v>
      </c>
      <c r="N56" s="495">
        <f t="shared" ca="1" si="35"/>
        <v>116986.75</v>
      </c>
      <c r="O56" s="495">
        <f t="shared" ca="1" si="32"/>
        <v>35.025973053892216</v>
      </c>
      <c r="P56" s="495">
        <f t="shared" ca="1" si="33"/>
        <v>52.314976299078793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IFERROR(__xludf.DUMMYFUNCTION("IMPORTRANGE(""https://docs.google.com/spreadsheets/d/1MeEWN-I1oV_STSDYn1IFDPWt_1FKiwhDph83XaGc0o0/edit?usp=sharing"",""งบพรบ!W63"")"),334000)</f>
        <v>334000</v>
      </c>
      <c r="M58" s="90">
        <f ca="1">IFERROR(__xludf.DUMMYFUNCTION("IMPORTRANGE(""https://docs.google.com/spreadsheets/d/1MeEWN-I1oV_STSDYn1IFDPWt_1FKiwhDph83XaGc0o0/edit?usp=sharing"",""งบพรบ!AB63"")"),223620)</f>
        <v>223620</v>
      </c>
      <c r="N58" s="90">
        <f ca="1">IFERROR(__xludf.DUMMYFUNCTION("IMPORTRANGE(""https://docs.google.com/spreadsheets/d/1MeEWN-I1oV_STSDYn1IFDPWt_1FKiwhDph83XaGc0o0/edit?usp=sharing"",""งบพรบ!AD63"")"),116986.75)</f>
        <v>116986.75</v>
      </c>
      <c r="O58" s="90">
        <f t="shared" ca="1" si="32"/>
        <v>35.025973053892216</v>
      </c>
      <c r="P58" s="90">
        <f t="shared" ca="1" si="33"/>
        <v>52.314976299078793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IFERROR(__xludf.DUMMYFUNCTION("IMPORTRANGE(""https://docs.google.com/spreadsheets/d/1MeEWN-I1oV_STSDYn1IFDPWt_1FKiwhDph83XaGc0o0/edit?usp=sharing"",""งบพรบ!Z63"")"),0)</f>
        <v>0</v>
      </c>
      <c r="M61" s="51">
        <f ca="1">IFERROR(__xludf.DUMMYFUNCTION("IMPORTRANGE(""https://docs.google.com/spreadsheets/d/1MeEWN-I1oV_STSDYn1IFDPWt_1FKiwhDph83XaGc0o0/edit?usp=sharing"",""งบพรบ!AC63"")"),0)</f>
        <v>0</v>
      </c>
      <c r="N61" s="51">
        <f ca="1">IFERROR(__xludf.DUMMYFUNCTION("IMPORTRANGE(""https://docs.google.com/spreadsheets/d/1MeEWN-I1oV_STSDYn1IFDPWt_1FKiwhDph83XaGc0o0/edit?usp=sharing"",""งบพรบ!AE63"")"),0)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IFERROR(__xludf.DUMMYFUNCTION("IMPORTRANGE(""https://docs.google.com/spreadsheets/d/1MeEWN-I1oV_STSDYn1IFDPWt_1FKiwhDph83XaGc0o0/edit?usp=sharing"",""งบพรบ!AG63"")"),0)</f>
        <v>0</v>
      </c>
      <c r="M71" s="90">
        <f ca="1">IFERROR(__xludf.DUMMYFUNCTION("IMPORTRANGE(""https://docs.google.com/spreadsheets/d/1MeEWN-I1oV_STSDYn1IFDPWt_1FKiwhDph83XaGc0o0/edit?usp=sharing"",""งบพรบ!AL63"")"),0)</f>
        <v>0</v>
      </c>
      <c r="N71" s="90">
        <f ca="1">IFERROR(__xludf.DUMMYFUNCTION("IMPORTRANGE(""https://docs.google.com/spreadsheets/d/1MeEWN-I1oV_STSDYn1IFDPWt_1FKiwhDph83XaGc0o0/edit?usp=sharing"",""งบพรบ!AN63"")"),0)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IFERROR(__xludf.DUMMYFUNCTION("IMPORTRANGE(""https://docs.google.com/spreadsheets/d/1MeEWN-I1oV_STSDYn1IFDPWt_1FKiwhDph83XaGc0o0/edit?usp=sharing"",""งบพรบ!AJ63"")"),0)</f>
        <v>0</v>
      </c>
      <c r="M74" s="90">
        <f ca="1">IFERROR(__xludf.DUMMYFUNCTION("IMPORTRANGE(""https://docs.google.com/spreadsheets/d/1MeEWN-I1oV_STSDYn1IFDPWt_1FKiwhDph83XaGc0o0/edit?usp=sharing"",""งบพรบ!AM63"")"),0)</f>
        <v>0</v>
      </c>
      <c r="N74" s="90">
        <f ca="1">IFERROR(__xludf.DUMMYFUNCTION("IMPORTRANGE(""https://docs.google.com/spreadsheets/d/1MeEWN-I1oV_STSDYn1IFDPWt_1FKiwhDph83XaGc0o0/edit?usp=sharing"",""งบพรบ!AO63"")"),0)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IFERROR(__xludf.DUMMYFUNCTION("IMPORTRANGE(""https://docs.google.com/spreadsheets/d/1QqKyyYR6Q21VydFLVH3TRQUabQu_ym0Zz7PgGX0-kHA/edit?usp=sharing"",""แผน!H63"")"),0)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IFERROR(__xludf.DUMMYFUNCTION("IMPORTRANGE(""https://docs.google.com/spreadsheets/d/1QqKyyYR6Q21VydFLVH3TRQUabQu_ym0Zz7PgGX0-kHA/edit?usp=sharing"",""แผน!I63"")"),0)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IFERROR(__xludf.DUMMYFUNCTION("IMPORTRANGE(""https://docs.google.com/spreadsheets/d/1QqKyyYR6Q21VydFLVH3TRQUabQu_ym0Zz7PgGX0-kHA/edit?usp=sharing"",""แผน!F63"")"),0)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IFERROR(__xludf.DUMMYFUNCTION("IMPORTRANGE(""https://docs.google.com/spreadsheets/d/1QqKyyYR6Q21VydFLVH3TRQUabQu_ym0Zz7PgGX0-kHA/edit?usp=sharing"",""แผน!G63"")"),0)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IFERROR(__xludf.DUMMYFUNCTION("IMPORTRANGE(""https://docs.google.com/spreadsheets/d/1QqKyyYR6Q21VydFLVH3TRQUabQu_ym0Zz7PgGX0-kHA/edit?usp=sharing"",""แผน!D63"")"),0)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IFERROR(__xludf.DUMMYFUNCTION("IMPORTRANGE(""https://docs.google.com/spreadsheets/d/1QqKyyYR6Q21VydFLVH3TRQUabQu_ym0Zz7PgGX0-kHA/edit?usp=sharing"",""แผน!E63"")"),0)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IFERROR(__xludf.DUMMYFUNCTION("IMPORTRANGE(""https://docs.google.com/spreadsheets/d/1QqKyyYR6Q21VydFLVH3TRQUabQu_ym0Zz7PgGX0-kHA/edit?usp=sharing"",""แผน!J63"")"),0)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30</v>
      </c>
      <c r="J86" s="140">
        <f t="shared" si="47"/>
        <v>30</v>
      </c>
      <c r="K86" s="141">
        <f t="shared" ref="K86:K87" ca="1" si="48">IF(I86&gt;0,J86*100/I86,0)</f>
        <v>100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10</v>
      </c>
      <c r="J87" s="140">
        <f t="shared" si="47"/>
        <v>10</v>
      </c>
      <c r="K87" s="141">
        <f t="shared" ca="1" si="48"/>
        <v>100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85840</v>
      </c>
      <c r="M88" s="151">
        <f t="shared" ca="1" si="49"/>
        <v>21840</v>
      </c>
      <c r="N88" s="151">
        <f t="shared" ca="1" si="49"/>
        <v>21070</v>
      </c>
      <c r="O88" s="151">
        <f t="shared" ref="O88:O96" ca="1" si="50">IF(L88&gt;0,N88*100/L88,0)</f>
        <v>24.545666356011182</v>
      </c>
      <c r="P88" s="151">
        <f t="shared" ref="P88:P96" ca="1" si="51">IF(M88&gt;0,N88*100/M88,0)</f>
        <v>96.474358974358978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85840</v>
      </c>
      <c r="M90" s="90">
        <f t="shared" ca="1" si="52"/>
        <v>21840</v>
      </c>
      <c r="N90" s="90">
        <f t="shared" ca="1" si="52"/>
        <v>21070</v>
      </c>
      <c r="O90" s="90">
        <f t="shared" ca="1" si="50"/>
        <v>24.545666356011182</v>
      </c>
      <c r="P90" s="90">
        <f t="shared" ca="1" si="51"/>
        <v>96.474358974358978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85840</v>
      </c>
      <c r="M91" s="495">
        <f t="shared" ca="1" si="53"/>
        <v>21840</v>
      </c>
      <c r="N91" s="495">
        <f t="shared" ca="1" si="53"/>
        <v>21070</v>
      </c>
      <c r="O91" s="495">
        <f t="shared" ca="1" si="50"/>
        <v>24.545666356011182</v>
      </c>
      <c r="P91" s="495">
        <f t="shared" ca="1" si="51"/>
        <v>96.474358974358978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IFERROR(__xludf.DUMMYFUNCTION("IMPORTRANGE(""https://docs.google.com/spreadsheets/d/1MeEWN-I1oV_STSDYn1IFDPWt_1FKiwhDph83XaGc0o0/edit?usp=sharing"",""งบพรบ!AQ63"")"),85840)</f>
        <v>85840</v>
      </c>
      <c r="M93" s="90">
        <f ca="1">IFERROR(__xludf.DUMMYFUNCTION("IMPORTRANGE(""https://docs.google.com/spreadsheets/d/1MeEWN-I1oV_STSDYn1IFDPWt_1FKiwhDph83XaGc0o0/edit?usp=sharing"",""งบพรบ!AV63"")"),21840)</f>
        <v>21840</v>
      </c>
      <c r="N93" s="90">
        <f ca="1">IFERROR(__xludf.DUMMYFUNCTION("IMPORTRANGE(""https://docs.google.com/spreadsheets/d/1MeEWN-I1oV_STSDYn1IFDPWt_1FKiwhDph83XaGc0o0/edit?usp=sharing"",""งบพรบ!AX63"")"),21070)</f>
        <v>21070</v>
      </c>
      <c r="O93" s="90">
        <f t="shared" ca="1" si="50"/>
        <v>24.545666356011182</v>
      </c>
      <c r="P93" s="90">
        <f t="shared" ca="1" si="51"/>
        <v>96.474358974358978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IFERROR(__xludf.DUMMYFUNCTION("IMPORTRANGE(""https://docs.google.com/spreadsheets/d/1MeEWN-I1oV_STSDYn1IFDPWt_1FKiwhDph83XaGc0o0/edit?usp=sharing"",""งบพรบ!AT63"")"),0)</f>
        <v>0</v>
      </c>
      <c r="M96" s="90">
        <f ca="1">IFERROR(__xludf.DUMMYFUNCTION("IMPORTRANGE(""https://docs.google.com/spreadsheets/d/1MeEWN-I1oV_STSDYn1IFDPWt_1FKiwhDph83XaGc0o0/edit?usp=sharing"",""งบพรบ!AW63"")"),0)</f>
        <v>0</v>
      </c>
      <c r="N96" s="90">
        <f ca="1">IFERROR(__xludf.DUMMYFUNCTION("IMPORTRANGE(""https://docs.google.com/spreadsheets/d/1MeEWN-I1oV_STSDYn1IFDPWt_1FKiwhDph83XaGc0o0/edit?usp=sharing"",""งบพรบ!AY63"")"),0)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IFERROR(__xludf.DUMMYFUNCTION("IMPORTRANGE(""https://docs.google.com/spreadsheets/d/1QqKyyYR6Q21VydFLVH3TRQUabQu_ym0Zz7PgGX0-kHA/edit?usp=sharing"",""แผน!K63"")"),30)</f>
        <v>30</v>
      </c>
      <c r="J98" s="264">
        <f>J102</f>
        <v>30</v>
      </c>
      <c r="K98" s="495">
        <f t="shared" ref="K98:K100" ca="1" si="55">IF(I98&gt;0,J98*100/I98,0)</f>
        <v>100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IFERROR(__xludf.DUMMYFUNCTION("IMPORTRANGE(""https://docs.google.com/spreadsheets/d/1QqKyyYR6Q21VydFLVH3TRQUabQu_ym0Zz7PgGX0-kHA/edit?usp=sharing"",""แผน!L63"")"),10)</f>
        <v>10</v>
      </c>
      <c r="J99" s="264">
        <f>J104</f>
        <v>10</v>
      </c>
      <c r="K99" s="495">
        <f t="shared" ca="1" si="55"/>
        <v>100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IFERROR(__xludf.DUMMYFUNCTION("IMPORTRANGE(""https://docs.google.com/spreadsheets/d/1QqKyyYR6Q21VydFLVH3TRQUabQu_ym0Zz7PgGX0-kHA/edit?usp=sharing"",""แผน!M63"")"),2)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IFERROR(__xludf.DUMMYFUNCTION("IMPORTRANGE(""https://docs.google.com/spreadsheets/d/1QqKyyYR6Q21VydFLVH3TRQUabQu_ym0Zz7PgGX0-kHA/edit?usp=sharing"",""แผน!N63"")"),30)</f>
        <v>30</v>
      </c>
      <c r="J102" s="210">
        <v>30</v>
      </c>
      <c r="K102" s="495">
        <f t="shared" ref="K102:K104" ca="1" si="56">IF(I102&gt;0,J102*100/I102,0)</f>
        <v>100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IFERROR(__xludf.DUMMYFUNCTION("IMPORTRANGE(""https://docs.google.com/spreadsheets/d/1QqKyyYR6Q21VydFLVH3TRQUabQu_ym0Zz7PgGX0-kHA/edit?usp=sharing"",""แผน!O63"")"),10)</f>
        <v>10</v>
      </c>
      <c r="J103" s="210">
        <v>10</v>
      </c>
      <c r="K103" s="495">
        <f t="shared" ca="1" si="56"/>
        <v>100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IFERROR(__xludf.DUMMYFUNCTION("IMPORTRANGE(""https://docs.google.com/spreadsheets/d/1QqKyyYR6Q21VydFLVH3TRQUabQu_ym0Zz7PgGX0-kHA/edit?usp=sharing"",""แผน!O63"")"),10)</f>
        <v>10</v>
      </c>
      <c r="J104" s="210">
        <v>10</v>
      </c>
      <c r="K104" s="495">
        <f t="shared" ca="1" si="56"/>
        <v>100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IFERROR(__xludf.DUMMYFUNCTION("IMPORTRANGE(""https://docs.google.com/spreadsheets/d/1QqKyyYR6Q21VydFLVH3TRQUabQu_ym0Zz7PgGX0-kHA/edit?usp=sharing"",""แผน!P63"")"),1)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IFERROR(__xludf.DUMMYFUNCTION("IMPORTRANGE(""https://docs.google.com/spreadsheets/d/1QqKyyYR6Q21VydFLVH3TRQUabQu_ym0Zz7PgGX0-kHA/edit?usp=sharing"",""แผน!P63"")"),1)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IFERROR(__xludf.DUMMYFUNCTION("IMPORTRANGE(""https://docs.google.com/spreadsheets/d/1QqKyyYR6Q21VydFLVH3TRQUabQu_ym0Zz7PgGX0-kHA/edit?usp=sharing"",""แผน!Q63"")"),1)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IFERROR(__xludf.DUMMYFUNCTION("IMPORTRANGE(""https://docs.google.com/spreadsheets/d/1QqKyyYR6Q21VydFLVH3TRQUabQu_ym0Zz7PgGX0-kHA/edit?usp=sharing"",""แผน!Q63"")"),1)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IFERROR(__xludf.DUMMYFUNCTION("IMPORTRANGE(""https://docs.google.com/spreadsheets/d/1QqKyyYR6Q21VydFLVH3TRQUabQu_ym0Zz7PgGX0-kHA/edit?usp=sharing"",""แผน!R63"")"),10)</f>
        <v>10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IFERROR(__xludf.DUMMYFUNCTION("IMPORTRANGE(""https://docs.google.com/spreadsheets/d/1QqKyyYR6Q21VydFLVH3TRQUabQu_ym0Zz7PgGX0-kHA/edit?usp=sharing"",""แผน!R63"")"),10)</f>
        <v>10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IFERROR(__xludf.DUMMYFUNCTION("IMPORTRANGE(""https://docs.google.com/spreadsheets/d/1QqKyyYR6Q21VydFLVH3TRQUabQu_ym0Zz7PgGX0-kHA/edit?usp=sharing"",""แผน!R63"")"),10)</f>
        <v>10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IFERROR(__xludf.DUMMYFUNCTION("IMPORTRANGE(""https://docs.google.com/spreadsheets/d/1QqKyyYR6Q21VydFLVH3TRQUabQu_ym0Zz7PgGX0-kHA/edit?usp=sharing"",""แผน!S63"")"),1)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IFERROR(__xludf.DUMMYFUNCTION("IMPORTRANGE(""https://docs.google.com/spreadsheets/d/1QqKyyYR6Q21VydFLVH3TRQUabQu_ym0Zz7PgGX0-kHA/edit?usp=sharing"",""แผน!T63"")"),1)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IFERROR(__xludf.DUMMYFUNCTION("IMPORTRANGE(""https://docs.google.com/spreadsheets/d/1MeEWN-I1oV_STSDYn1IFDPWt_1FKiwhDph83XaGc0o0/edit?usp=sharing"",""งบพรบ!BA63"")"),0)</f>
        <v>0</v>
      </c>
      <c r="M124" s="90">
        <f ca="1">IFERROR(__xludf.DUMMYFUNCTION("IMPORTRANGE(""https://docs.google.com/spreadsheets/d/1MeEWN-I1oV_STSDYn1IFDPWt_1FKiwhDph83XaGc0o0/edit?usp=sharing"",""งบพรบ!BF63"")"),0)</f>
        <v>0</v>
      </c>
      <c r="N124" s="90">
        <f ca="1">IFERROR(__xludf.DUMMYFUNCTION("IMPORTRANGE(""https://docs.google.com/spreadsheets/d/1MeEWN-I1oV_STSDYn1IFDPWt_1FKiwhDph83XaGc0o0/edit?usp=sharing"",""งบพรบ!BH63"")"),0)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IFERROR(__xludf.DUMMYFUNCTION("IMPORTRANGE(""https://docs.google.com/spreadsheets/d/1MeEWN-I1oV_STSDYn1IFDPWt_1FKiwhDph83XaGc0o0/edit?usp=sharing"",""งบพรบ!BD63"")"),0)</f>
        <v>0</v>
      </c>
      <c r="M127" s="90">
        <f ca="1">IFERROR(__xludf.DUMMYFUNCTION("IMPORTRANGE(""https://docs.google.com/spreadsheets/d/1MeEWN-I1oV_STSDYn1IFDPWt_1FKiwhDph83XaGc0o0/edit?usp=sharing"",""งบพรบ!BG63"")"),0)</f>
        <v>0</v>
      </c>
      <c r="N127" s="90">
        <f ca="1">IFERROR(__xludf.DUMMYFUNCTION("IMPORTRANGE(""https://docs.google.com/spreadsheets/d/1MeEWN-I1oV_STSDYn1IFDPWt_1FKiwhDph83XaGc0o0/edit?usp=sharing"",""งบพรบ!BI63"")"),0)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4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40</v>
      </c>
      <c r="J131" s="140">
        <f t="shared" ca="1" si="68"/>
        <v>40</v>
      </c>
      <c r="K131" s="141">
        <f t="shared" ca="1" si="67"/>
        <v>100</v>
      </c>
      <c r="L131" s="142"/>
      <c r="M131" s="142"/>
      <c r="N131" s="142"/>
      <c r="O131" s="142"/>
      <c r="P131" s="142"/>
    </row>
    <row r="132" spans="1:26" ht="19.5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1017520</v>
      </c>
      <c r="M132" s="151">
        <f t="shared" ca="1" si="69"/>
        <v>739850</v>
      </c>
      <c r="N132" s="151">
        <f t="shared" ca="1" si="69"/>
        <v>607446.44999999995</v>
      </c>
      <c r="O132" s="151">
        <f t="shared" ref="O132:O140" ca="1" si="70">IF(L132&gt;0,N132*100/L132,0)</f>
        <v>59.698723366616868</v>
      </c>
      <c r="P132" s="151">
        <f t="shared" ref="P132:P140" ca="1" si="71">IF(M132&gt;0,N132*100/M132,0)</f>
        <v>82.104000810975194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1017520</v>
      </c>
      <c r="M134" s="90">
        <f t="shared" ca="1" si="72"/>
        <v>739850</v>
      </c>
      <c r="N134" s="90">
        <f t="shared" ca="1" si="72"/>
        <v>607446.44999999995</v>
      </c>
      <c r="O134" s="90">
        <f t="shared" ca="1" si="70"/>
        <v>59.698723366616868</v>
      </c>
      <c r="P134" s="90">
        <f t="shared" ca="1" si="71"/>
        <v>82.104000810975194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605520</v>
      </c>
      <c r="M135" s="495">
        <f t="shared" ca="1" si="73"/>
        <v>327850</v>
      </c>
      <c r="N135" s="495">
        <f t="shared" ca="1" si="73"/>
        <v>195446.45</v>
      </c>
      <c r="O135" s="495">
        <f t="shared" ca="1" si="70"/>
        <v>32.277455740520544</v>
      </c>
      <c r="P135" s="495">
        <f t="shared" ca="1" si="71"/>
        <v>59.61459508921763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IFERROR(__xludf.DUMMYFUNCTION("IMPORTRANGE(""https://docs.google.com/spreadsheets/d/1MeEWN-I1oV_STSDYn1IFDPWt_1FKiwhDph83XaGc0o0/edit?usp=sharing"",""งบพรบ!BK63"")"),605520)</f>
        <v>605520</v>
      </c>
      <c r="M137" s="90">
        <f ca="1">IFERROR(__xludf.DUMMYFUNCTION("IMPORTRANGE(""https://docs.google.com/spreadsheets/d/1MeEWN-I1oV_STSDYn1IFDPWt_1FKiwhDph83XaGc0o0/edit?usp=sharing"",""งบพรบ!BP63"")"),327850)</f>
        <v>327850</v>
      </c>
      <c r="N137" s="90">
        <f ca="1">IFERROR(__xludf.DUMMYFUNCTION("IMPORTRANGE(""https://docs.google.com/spreadsheets/d/1MeEWN-I1oV_STSDYn1IFDPWt_1FKiwhDph83XaGc0o0/edit?usp=sharing"",""งบพรบ!BR63"")"),195446.45)</f>
        <v>195446.45</v>
      </c>
      <c r="O137" s="90">
        <f t="shared" ca="1" si="70"/>
        <v>32.277455740520544</v>
      </c>
      <c r="P137" s="90">
        <f t="shared" ca="1" si="71"/>
        <v>59.61459508921763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412000</v>
      </c>
      <c r="M138" s="495">
        <f t="shared" ca="1" si="74"/>
        <v>412000</v>
      </c>
      <c r="N138" s="495">
        <f t="shared" ca="1" si="74"/>
        <v>412000</v>
      </c>
      <c r="O138" s="495">
        <f t="shared" ca="1" si="70"/>
        <v>100</v>
      </c>
      <c r="P138" s="495">
        <f t="shared" ca="1" si="71"/>
        <v>100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IFERROR(__xludf.DUMMYFUNCTION("IMPORTRANGE(""https://docs.google.com/spreadsheets/d/1MeEWN-I1oV_STSDYn1IFDPWt_1FKiwhDph83XaGc0o0/edit?usp=sharing"",""งบพรบ!BN63"")"),412000)</f>
        <v>412000</v>
      </c>
      <c r="M140" s="90">
        <f ca="1">IFERROR(__xludf.DUMMYFUNCTION("IMPORTRANGE(""https://docs.google.com/spreadsheets/d/1MeEWN-I1oV_STSDYn1IFDPWt_1FKiwhDph83XaGc0o0/edit?usp=sharing"",""งบพรบ!BQ63"")"),412000)</f>
        <v>412000</v>
      </c>
      <c r="N140" s="90">
        <f ca="1">IFERROR(__xludf.DUMMYFUNCTION("IMPORTRANGE(""https://docs.google.com/spreadsheets/d/1MeEWN-I1oV_STSDYn1IFDPWt_1FKiwhDph83XaGc0o0/edit?usp=sharing"",""งบพรบ!BS63"")"),412000)</f>
        <v>412000</v>
      </c>
      <c r="O140" s="90">
        <f t="shared" ca="1" si="70"/>
        <v>100</v>
      </c>
      <c r="P140" s="90">
        <f t="shared" ca="1" si="71"/>
        <v>100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40</v>
      </c>
      <c r="J143" s="264">
        <f ca="1">IF(AND(J144&gt;=I144,J145&gt;=I145),J145,0)</f>
        <v>40</v>
      </c>
      <c r="K143" s="495">
        <f ca="1">IF(I143&gt;0,J143*100/I143,0)</f>
        <v>100</v>
      </c>
      <c r="L143" s="495"/>
      <c r="M143" s="495"/>
      <c r="N143" s="495"/>
      <c r="O143" s="495"/>
      <c r="P143" s="495"/>
    </row>
    <row r="144" spans="1:26" ht="19.5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IFERROR(__xludf.DUMMYFUNCTION("IMPORTRANGE(""https://docs.google.com/spreadsheets/d/1QqKyyYR6Q21VydFLVH3TRQUabQu_ym0Zz7PgGX0-kHA/edit?usp=sharing"",""แผน!U63"")"),20)</f>
        <v>20</v>
      </c>
      <c r="J144" s="210">
        <v>40</v>
      </c>
      <c r="K144" s="495">
        <f t="shared" ref="K144:K145" ca="1" si="75">IF(I144&gt;0,J145*100/I144,0)</f>
        <v>200</v>
      </c>
      <c r="L144" s="495"/>
      <c r="M144" s="495"/>
      <c r="N144" s="495"/>
      <c r="O144" s="495"/>
      <c r="P144" s="495"/>
    </row>
    <row r="145" spans="1:26" ht="19.5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IFERROR(__xludf.DUMMYFUNCTION("IMPORTRANGE(""https://docs.google.com/spreadsheets/d/1QqKyyYR6Q21VydFLVH3TRQUabQu_ym0Zz7PgGX0-kHA/edit?usp=sharing"",""แผน!V63"")"),40)</f>
        <v>40</v>
      </c>
      <c r="J145" s="210">
        <v>40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IFERROR(__xludf.DUMMYFUNCTION("IMPORTRANGE(""https://docs.google.com/spreadsheets/d/1QqKyyYR6Q21VydFLVH3TRQUabQu_ym0Zz7PgGX0-kHA/edit?usp=sharing"",""แผน!W63"")"),4)</f>
        <v>4</v>
      </c>
      <c r="J146" s="210">
        <v>0</v>
      </c>
      <c r="K146" s="495">
        <f ca="1">IF(I146&gt;0,J146*100/I146,0)</f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IFERROR(__xludf.DUMMYFUNCTION("IMPORTRANGE(""https://docs.google.com/spreadsheets/d/1MeEWN-I1oV_STSDYn1IFDPWt_1FKiwhDph83XaGc0o0/edit?usp=sharing"",""งบพรบ!BU63"")"),0)</f>
        <v>0</v>
      </c>
      <c r="M154" s="90">
        <f ca="1">IFERROR(__xludf.DUMMYFUNCTION("IMPORTRANGE(""https://docs.google.com/spreadsheets/d/1MeEWN-I1oV_STSDYn1IFDPWt_1FKiwhDph83XaGc0o0/edit?usp=sharing"",""งบพรบ!BZ63"")"),0)</f>
        <v>0</v>
      </c>
      <c r="N154" s="90">
        <f ca="1">IFERROR(__xludf.DUMMYFUNCTION("IMPORTRANGE(""https://docs.google.com/spreadsheets/d/1MeEWN-I1oV_STSDYn1IFDPWt_1FKiwhDph83XaGc0o0/edit?usp=sharing"",""งบพรบ!CB63"")"),0)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IFERROR(__xludf.DUMMYFUNCTION("IMPORTRANGE(""https://docs.google.com/spreadsheets/d/1MeEWN-I1oV_STSDYn1IFDPWt_1FKiwhDph83XaGc0o0/edit?usp=sharing"",""งบพรบ!BX63"")"),0)</f>
        <v>0</v>
      </c>
      <c r="M157" s="90">
        <f ca="1">IFERROR(__xludf.DUMMYFUNCTION("IMPORTRANGE(""https://docs.google.com/spreadsheets/d/1MeEWN-I1oV_STSDYn1IFDPWt_1FKiwhDph83XaGc0o0/edit?usp=sharing"",""งบพรบ!CA63"")"),0)</f>
        <v>0</v>
      </c>
      <c r="N157" s="90">
        <f ca="1">IFERROR(__xludf.DUMMYFUNCTION("IMPORTRANGE(""https://docs.google.com/spreadsheets/d/1MeEWN-I1oV_STSDYn1IFDPWt_1FKiwhDph83XaGc0o0/edit?usp=sharing"",""งบพรบ!CC63"")"),0)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IFERROR(__xludf.DUMMYFUNCTION("IMPORTRANGE(""https://docs.google.com/spreadsheets/d/1QqKyyYR6Q21VydFLVH3TRQUabQu_ym0Zz7PgGX0-kHA/edit?usp=sharing"",""แผน!X63"")"),0)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0</v>
      </c>
      <c r="O165" s="150">
        <f t="shared" ref="O165:O173" ca="1" si="85">IF(L165&gt;0,N165*100/L165,0)</f>
        <v>0</v>
      </c>
      <c r="P165" s="150">
        <f t="shared" ref="P165:P173" ca="1" si="86">IF(M165&gt;0,N165*100/M165,0)</f>
        <v>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0</v>
      </c>
      <c r="O167" s="90">
        <f t="shared" ca="1" si="85"/>
        <v>0</v>
      </c>
      <c r="P167" s="90">
        <f t="shared" ca="1" si="86"/>
        <v>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0</v>
      </c>
      <c r="O168" s="495">
        <f t="shared" ca="1" si="85"/>
        <v>0</v>
      </c>
      <c r="P168" s="495">
        <f t="shared" ca="1" si="86"/>
        <v>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IFERROR(__xludf.DUMMYFUNCTION("IMPORTRANGE(""https://docs.google.com/spreadsheets/d/1MeEWN-I1oV_STSDYn1IFDPWt_1FKiwhDph83XaGc0o0/edit?usp=sharing"",""งบพรบ!CE63"")"),21050)</f>
        <v>21050</v>
      </c>
      <c r="M170" s="90">
        <f ca="1">IFERROR(__xludf.DUMMYFUNCTION("IMPORTRANGE(""https://docs.google.com/spreadsheets/d/1MeEWN-I1oV_STSDYn1IFDPWt_1FKiwhDph83XaGc0o0/edit?usp=sharing"",""งบพรบ!CJ63"")"),21050)</f>
        <v>21050</v>
      </c>
      <c r="N170" s="90">
        <f ca="1">IFERROR(__xludf.DUMMYFUNCTION("IMPORTRANGE(""https://docs.google.com/spreadsheets/d/1MeEWN-I1oV_STSDYn1IFDPWt_1FKiwhDph83XaGc0o0/edit?usp=sharing"",""งบพรบ!CL63"")"),0)</f>
        <v>0</v>
      </c>
      <c r="O170" s="90">
        <f t="shared" ca="1" si="85"/>
        <v>0</v>
      </c>
      <c r="P170" s="90">
        <f t="shared" ca="1" si="86"/>
        <v>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IFERROR(__xludf.DUMMYFUNCTION("IMPORTRANGE(""https://docs.google.com/spreadsheets/d/1MeEWN-I1oV_STSDYn1IFDPWt_1FKiwhDph83XaGc0o0/edit?usp=sharing"",""งบพรบ!CH63"")"),0)</f>
        <v>0</v>
      </c>
      <c r="M173" s="90">
        <f ca="1">IFERROR(__xludf.DUMMYFUNCTION("IMPORTRANGE(""https://docs.google.com/spreadsheets/d/1MeEWN-I1oV_STSDYn1IFDPWt_1FKiwhDph83XaGc0o0/edit?usp=sharing"",""งบพรบ!CK63"")"),0)</f>
        <v>0</v>
      </c>
      <c r="N173" s="90">
        <f ca="1">IFERROR(__xludf.DUMMYFUNCTION("IMPORTRANGE(""https://docs.google.com/spreadsheets/d/1MeEWN-I1oV_STSDYn1IFDPWt_1FKiwhDph83XaGc0o0/edit?usp=sharing"",""งบพรบ!CM63"")"),0)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IFERROR(__xludf.DUMMYFUNCTION("IMPORTRANGE(""https://docs.google.com/spreadsheets/d/1QqKyyYR6Q21VydFLVH3TRQUabQu_ym0Zz7PgGX0-kHA/edit?usp=sharing"",""แผน!Y63"")"),10)</f>
        <v>10</v>
      </c>
      <c r="J176" s="210"/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112000</v>
      </c>
      <c r="M181" s="150">
        <f t="shared" ca="1" si="91"/>
        <v>71500</v>
      </c>
      <c r="N181" s="150">
        <f t="shared" ca="1" si="91"/>
        <v>26120</v>
      </c>
      <c r="O181" s="150">
        <f t="shared" ref="O181:O189" ca="1" si="92">IF(L181&gt;0,N181*100/L181,0)</f>
        <v>23.321428571428573</v>
      </c>
      <c r="P181" s="150">
        <f t="shared" ref="P181:P189" ca="1" si="93">IF(M181&gt;0,N181*100/M181,0)</f>
        <v>36.531468531468533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112000</v>
      </c>
      <c r="M183" s="90">
        <f t="shared" ca="1" si="94"/>
        <v>71500</v>
      </c>
      <c r="N183" s="90">
        <f t="shared" ca="1" si="94"/>
        <v>26120</v>
      </c>
      <c r="O183" s="90">
        <f t="shared" ca="1" si="92"/>
        <v>23.321428571428573</v>
      </c>
      <c r="P183" s="90">
        <f t="shared" ca="1" si="93"/>
        <v>36.531468531468533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112000</v>
      </c>
      <c r="M184" s="495">
        <f t="shared" ca="1" si="95"/>
        <v>71500</v>
      </c>
      <c r="N184" s="495">
        <f t="shared" ca="1" si="95"/>
        <v>26120</v>
      </c>
      <c r="O184" s="495">
        <f t="shared" ca="1" si="92"/>
        <v>23.321428571428573</v>
      </c>
      <c r="P184" s="495">
        <f t="shared" ca="1" si="93"/>
        <v>36.531468531468533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IFERROR(__xludf.DUMMYFUNCTION("IMPORTRANGE(""https://docs.google.com/spreadsheets/d/1MeEWN-I1oV_STSDYn1IFDPWt_1FKiwhDph83XaGc0o0/edit?usp=sharing"",""งบพรบ!CO63"")"),112000)</f>
        <v>112000</v>
      </c>
      <c r="M186" s="90">
        <f ca="1">IFERROR(__xludf.DUMMYFUNCTION("IMPORTRANGE(""https://docs.google.com/spreadsheets/d/1MeEWN-I1oV_STSDYn1IFDPWt_1FKiwhDph83XaGc0o0/edit?usp=sharing"",""งบพรบ!CT63"")"),71500)</f>
        <v>71500</v>
      </c>
      <c r="N186" s="90">
        <f ca="1">IFERROR(__xludf.DUMMYFUNCTION("IMPORTRANGE(""https://docs.google.com/spreadsheets/d/1MeEWN-I1oV_STSDYn1IFDPWt_1FKiwhDph83XaGc0o0/edit?usp=sharing"",""งบพรบ!CV63"")"),26120)</f>
        <v>26120</v>
      </c>
      <c r="O186" s="90">
        <f t="shared" ca="1" si="92"/>
        <v>23.321428571428573</v>
      </c>
      <c r="P186" s="90">
        <f t="shared" ca="1" si="93"/>
        <v>36.531468531468533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IFERROR(__xludf.DUMMYFUNCTION("IMPORTRANGE(""https://docs.google.com/spreadsheets/d/1MeEWN-I1oV_STSDYn1IFDPWt_1FKiwhDph83XaGc0o0/edit?usp=sharing"",""งบพรบ!CR63"")"),0)</f>
        <v>0</v>
      </c>
      <c r="M189" s="90">
        <f ca="1">IFERROR(__xludf.DUMMYFUNCTION("IMPORTRANGE(""https://docs.google.com/spreadsheets/d/1MeEWN-I1oV_STSDYn1IFDPWt_1FKiwhDph83XaGc0o0/edit?usp=sharing"",""งบพรบ!CU63"")"),0)</f>
        <v>0</v>
      </c>
      <c r="N189" s="90">
        <f ca="1">IFERROR(__xludf.DUMMYFUNCTION("IMPORTRANGE(""https://docs.google.com/spreadsheets/d/1MeEWN-I1oV_STSDYn1IFDPWt_1FKiwhDph83XaGc0o0/edit?usp=sharing"",""งบพรบ!CW63"")"),0)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IFERROR(__xludf.DUMMYFUNCTION("IMPORTRANGE(""https://docs.google.com/spreadsheets/d/1QqKyyYR6Q21VydFLVH3TRQUabQu_ym0Zz7PgGX0-kHA/edit?usp=sharing"",""แผน!Z63"")"),6000)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IFERROR(__xludf.DUMMYFUNCTION("IMPORTRANGE(""https://docs.google.com/spreadsheets/d/1QqKyyYR6Q21VydFLVH3TRQUabQu_ym0Zz7PgGX0-kHA/edit?usp=sharing"",""แผน!AC63"")"),4)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3</v>
      </c>
      <c r="J197" s="266">
        <f t="shared" si="98"/>
        <v>3</v>
      </c>
      <c r="K197" s="267">
        <f ca="1">IF(I197&gt;0,J197*100/I197,0)</f>
        <v>100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39000</v>
      </c>
      <c r="M198" s="151"/>
      <c r="N198" s="151">
        <f>N199+N200+N201+N202</f>
        <v>25500</v>
      </c>
      <c r="O198" s="151">
        <f ca="1">IF(L198&gt;0,N198*100/L198,0)</f>
        <v>65.384615384615387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IFERROR(__xludf.DUMMYFUNCTION("IMPORTRANGE(""https://docs.google.com/spreadsheets/d/1QqKyyYR6Q21VydFLVH3TRQUabQu_ym0Zz7PgGX0-kHA/edit?usp=sharing"",""แผน!AE63"")"),3000)</f>
        <v>3000</v>
      </c>
      <c r="M199" s="495"/>
      <c r="N199" s="816">
        <v>1500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IFERROR(__xludf.DUMMYFUNCTION("IMPORTRANGE(""https://docs.google.com/spreadsheets/d/1QqKyyYR6Q21VydFLVH3TRQUabQu_ym0Zz7PgGX0-kHA/edit?usp=sharing"",""แผน!AF63"")"),24000)</f>
        <v>24000</v>
      </c>
      <c r="M200" s="495"/>
      <c r="N200" s="816">
        <v>24000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IFERROR(__xludf.DUMMYFUNCTION("IMPORTRANGE(""https://docs.google.com/spreadsheets/d/1QqKyyYR6Q21VydFLVH3TRQUabQu_ym0Zz7PgGX0-kHA/edit?usp=sharing"",""แผน!AG63"")"),12000)</f>
        <v>12000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IFERROR(__xludf.DUMMYFUNCTION("IMPORTRANGE(""https://docs.google.com/spreadsheets/d/1QqKyyYR6Q21VydFLVH3TRQUabQu_ym0Zz7PgGX0-kHA/edit?usp=sharing"",""แผน!AH63"")"),0)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IFERROR(__xludf.DUMMYFUNCTION("IMPORTRANGE(""https://docs.google.com/spreadsheets/d/1QqKyyYR6Q21VydFLVH3TRQUabQu_ym0Zz7PgGX0-kHA/edit?usp=sharing"",""แผน!AI63"")"),3)</f>
        <v>3</v>
      </c>
      <c r="J204" s="210">
        <v>3</v>
      </c>
      <c r="K204" s="159">
        <f ca="1">IF(I204&gt;0,J204*100/I204,0)</f>
        <v>100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3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IFERROR(__xludf.DUMMYFUNCTION("IMPORTRANGE(""https://docs.google.com/spreadsheets/d/1QqKyyYR6Q21VydFLVH3TRQUabQu_ym0Zz7PgGX0-kHA/edit?usp=sharing"",""แผน!AK63"")"),0)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IFERROR(__xludf.DUMMYFUNCTION("IMPORTRANGE(""https://docs.google.com/spreadsheets/d/1QqKyyYR6Q21VydFLVH3TRQUabQu_ym0Zz7PgGX0-kHA/edit?usp=sharing"",""แผน!AL63"")"),0)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IFERROR(__xludf.DUMMYFUNCTION("IMPORTRANGE(""https://docs.google.com/spreadsheets/d/1QqKyyYR6Q21VydFLVH3TRQUabQu_ym0Zz7PgGX0-kHA/edit?usp=sharing"",""แผน!AM63"")"),0)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IFERROR(__xludf.DUMMYFUNCTION("IMPORTRANGE(""https://docs.google.com/spreadsheets/d/1QqKyyYR6Q21VydFLVH3TRQUabQu_ym0Zz7PgGX0-kHA/edit?usp=sharing"",""แผน!AN63"")"),0)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IFERROR(__xludf.DUMMYFUNCTION("IMPORTRANGE(""https://docs.google.com/spreadsheets/d/1QqKyyYR6Q21VydFLVH3TRQUabQu_ym0Zz7PgGX0-kHA/edit?usp=sharing"",""แผน!AN63"")"),0)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20000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8000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IFERROR(__xludf.DUMMYFUNCTION("IMPORTRANGE(""https://docs.google.com/spreadsheets/d/1QqKyyYR6Q21VydFLVH3TRQUabQu_ym0Zz7PgGX0-kHA/edit?usp=sharing"",""แผน!AP63"")"),3000)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IFERROR(__xludf.DUMMYFUNCTION("IMPORTRANGE(""https://docs.google.com/spreadsheets/d/1QqKyyYR6Q21VydFLVH3TRQUabQu_ym0Zz7PgGX0-kHA/edit?usp=sharing"",""แผน!AQ63"")"),5000)</f>
        <v>5000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IFERROR(__xludf.DUMMYFUNCTION("IMPORTRANGE(""https://docs.google.com/spreadsheets/d/1QqKyyYR6Q21VydFLVH3TRQUabQu_ym0Zz7PgGX0-kHA/edit?usp=sharing"",""แผน!AR63"")"),0)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IFERROR(__xludf.DUMMYFUNCTION("IMPORTRANGE(""https://docs.google.com/spreadsheets/d/1QqKyyYR6Q21VydFLVH3TRQUabQu_ym0Zz7PgGX0-kHA/edit?usp=sharing"",""แผน!AT63"")"),20000)</f>
        <v>20000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IFERROR(__xludf.DUMMYFUNCTION("IMPORTRANGE(""https://docs.google.com/spreadsheets/d/1QqKyyYR6Q21VydFLVH3TRQUabQu_ym0Zz7PgGX0-kHA/edit?usp=sharing"",""แผน!AT63"")"),20000)</f>
        <v>20000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IFERROR(__xludf.DUMMYFUNCTION("IMPORTRANGE(""https://docs.google.com/spreadsheets/d/1QqKyyYR6Q21VydFLVH3TRQUabQu_ym0Zz7PgGX0-kHA/edit?usp=sharing"",""แผน!AS63"")"),0)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59000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17000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32000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10000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1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348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20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59000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IFERROR(__xludf.DUMMYFUNCTION("IMPORTRANGE(""https://docs.google.com/spreadsheets/d/1QqKyyYR6Q21VydFLVH3TRQUabQu_ym0Zz7PgGX0-kHA/edit?usp=sharing"",""แผน!AV63"")"),17000)</f>
        <v>17000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IFERROR(__xludf.DUMMYFUNCTION("IMPORTRANGE(""https://docs.google.com/spreadsheets/d/1QqKyyYR6Q21VydFLVH3TRQUabQu_ym0Zz7PgGX0-kHA/edit?usp=sharing"",""แผน!AW63"")"),32000)</f>
        <v>32000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IFERROR(__xludf.DUMMYFUNCTION("IMPORTRANGE(""https://docs.google.com/spreadsheets/d/1QqKyyYR6Q21VydFLVH3TRQUabQu_ym0Zz7PgGX0-kHA/edit?usp=sharing"",""แผน!AX63"")"),0)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IFERROR(__xludf.DUMMYFUNCTION("IMPORTRANGE(""https://docs.google.com/spreadsheets/d/1QqKyyYR6Q21VydFLVH3TRQUabQu_ym0Zz7PgGX0-kHA/edit?usp=sharing"",""แผน!AY63"")"),10000)</f>
        <v>10000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IFERROR(__xludf.DUMMYFUNCTION("IMPORTRANGE(""https://docs.google.com/spreadsheets/d/1QqKyyYR6Q21VydFLVH3TRQUabQu_ym0Zz7PgGX0-kHA/edit?usp=sharing"",""แผน!BE63"")"),20)</f>
        <v>20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0</v>
      </c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IFERROR(__xludf.DUMMYFUNCTION("IMPORTRANGE(""https://docs.google.com/spreadsheets/d/1QqKyyYR6Q21VydFLVH3TRQUabQu_ym0Zz7PgGX0-kHA/edit?usp=sharing"",""แผน!AZ63"")"),0)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IFERROR(__xludf.DUMMYFUNCTION("IMPORTRANGE(""https://docs.google.com/spreadsheets/d/1QqKyyYR6Q21VydFLVH3TRQUabQu_ym0Zz7PgGX0-kHA/edit?usp=sharing"",""แผน!BA63"")"),0)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IFERROR(__xludf.DUMMYFUNCTION("IMPORTRANGE(""https://docs.google.com/spreadsheets/d/1QqKyyYR6Q21VydFLVH3TRQUabQu_ym0Zz7PgGX0-kHA/edit?usp=sharing"",""แผน!BB63"")"),0)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IFERROR(__xludf.DUMMYFUNCTION("IMPORTRANGE(""https://docs.google.com/spreadsheets/d/1QqKyyYR6Q21VydFLVH3TRQUabQu_ym0Zz7PgGX0-kHA/edit?usp=sharing"",""แผน!BC63"")"),0)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IFERROR(__xludf.DUMMYFUNCTION("IMPORTRANGE(""https://docs.google.com/spreadsheets/d/1QqKyyYR6Q21VydFLVH3TRQUabQu_ym0Zz7PgGX0-kHA/edit?usp=sharing"",""แผน!BF63"")"),"")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IFERROR(__xludf.DUMMYFUNCTION("IMPORTRANGE(""https://docs.google.com/spreadsheets/d/1MeEWN-I1oV_STSDYn1IFDPWt_1FKiwhDph83XaGc0o0/edit?usp=sharing"",""งบพรบ!CY63"")"),26900)</f>
        <v>26900</v>
      </c>
      <c r="M266" s="90">
        <f ca="1">IFERROR(__xludf.DUMMYFUNCTION("IMPORTRANGE(""https://docs.google.com/spreadsheets/d/1MeEWN-I1oV_STSDYn1IFDPWt_1FKiwhDph83XaGc0o0/edit?usp=sharing"",""งบพรบ!DD63"")"),0)</f>
        <v>0</v>
      </c>
      <c r="N266" s="90">
        <f ca="1">IFERROR(__xludf.DUMMYFUNCTION("IMPORTRANGE(""https://docs.google.com/spreadsheets/d/1MeEWN-I1oV_STSDYn1IFDPWt_1FKiwhDph83XaGc0o0/edit?usp=sharing"",""งบพรบ!DF63"")"),0)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IFERROR(__xludf.DUMMYFUNCTION("IMPORTRANGE(""https://docs.google.com/spreadsheets/d/1MeEWN-I1oV_STSDYn1IFDPWt_1FKiwhDph83XaGc0o0/edit?usp=sharing"",""งบพรบ!DB63"")"),0)</f>
        <v>0</v>
      </c>
      <c r="M269" s="90">
        <f ca="1">IFERROR(__xludf.DUMMYFUNCTION("IMPORTRANGE(""https://docs.google.com/spreadsheets/d/1MeEWN-I1oV_STSDYn1IFDPWt_1FKiwhDph83XaGc0o0/edit?usp=sharing"",""งบพรบ!DE63"")"),0)</f>
        <v>0</v>
      </c>
      <c r="N269" s="90">
        <f ca="1">IFERROR(__xludf.DUMMYFUNCTION("IMPORTRANGE(""https://docs.google.com/spreadsheets/d/1MeEWN-I1oV_STSDYn1IFDPWt_1FKiwhDph83XaGc0o0/edit?usp=sharing"",""งบพรบ!DG63"")"),0)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IFERROR(__xludf.DUMMYFUNCTION("IMPORTRANGE(""https://docs.google.com/spreadsheets/d/1QqKyyYR6Q21VydFLVH3TRQUabQu_ym0Zz7PgGX0-kHA/edit?usp=sharing"",""แผน!EA63"")"),22)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0</v>
      </c>
      <c r="M277" s="151">
        <f t="shared" ca="1" si="124"/>
        <v>0</v>
      </c>
      <c r="N277" s="151">
        <f t="shared" ca="1" si="124"/>
        <v>0</v>
      </c>
      <c r="O277" s="151">
        <f t="shared" ref="O277:O285" ca="1" si="125">IF(L277&gt;0,N277*100/L277,0)</f>
        <v>0</v>
      </c>
      <c r="P277" s="151">
        <f t="shared" ref="P277:P285" ca="1" si="126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0</v>
      </c>
      <c r="M279" s="90">
        <f t="shared" ca="1" si="127"/>
        <v>0</v>
      </c>
      <c r="N279" s="90">
        <f t="shared" ca="1" si="127"/>
        <v>0</v>
      </c>
      <c r="O279" s="90">
        <f t="shared" ca="1" si="125"/>
        <v>0</v>
      </c>
      <c r="P279" s="90">
        <f t="shared" ca="1" si="126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0</v>
      </c>
      <c r="M280" s="495">
        <f t="shared" ca="1" si="128"/>
        <v>0</v>
      </c>
      <c r="N280" s="495">
        <f t="shared" ca="1" si="128"/>
        <v>0</v>
      </c>
      <c r="O280" s="495">
        <f t="shared" ca="1" si="125"/>
        <v>0</v>
      </c>
      <c r="P280" s="495">
        <f t="shared" ca="1" si="126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IFERROR(__xludf.DUMMYFUNCTION("IMPORTRANGE(""https://docs.google.com/spreadsheets/d/1MeEWN-I1oV_STSDYn1IFDPWt_1FKiwhDph83XaGc0o0/edit?usp=sharing"",""งบพรบ!DI63"")"),0)</f>
        <v>0</v>
      </c>
      <c r="M282" s="90">
        <f ca="1">IFERROR(__xludf.DUMMYFUNCTION("IMPORTRANGE(""https://docs.google.com/spreadsheets/d/1MeEWN-I1oV_STSDYn1IFDPWt_1FKiwhDph83XaGc0o0/edit?usp=sharing"",""งบพรบ!DN63"")"),0)</f>
        <v>0</v>
      </c>
      <c r="N282" s="90">
        <f ca="1">IFERROR(__xludf.DUMMYFUNCTION("IMPORTRANGE(""https://docs.google.com/spreadsheets/d/1MeEWN-I1oV_STSDYn1IFDPWt_1FKiwhDph83XaGc0o0/edit?usp=sharing"",""งบพรบ!DP63"")"),0)</f>
        <v>0</v>
      </c>
      <c r="O282" s="90">
        <f t="shared" ca="1" si="125"/>
        <v>0</v>
      </c>
      <c r="P282" s="90">
        <f t="shared" ca="1" si="126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IFERROR(__xludf.DUMMYFUNCTION("IMPORTRANGE(""https://docs.google.com/spreadsheets/d/1MeEWN-I1oV_STSDYn1IFDPWt_1FKiwhDph83XaGc0o0/edit?usp=sharing"",""งบพรบ!DL63"")"),0)</f>
        <v>0</v>
      </c>
      <c r="M285" s="90">
        <f ca="1">IFERROR(__xludf.DUMMYFUNCTION("IMPORTRANGE(""https://docs.google.com/spreadsheets/d/1MeEWN-I1oV_STSDYn1IFDPWt_1FKiwhDph83XaGc0o0/edit?usp=sharing"",""งบพรบ!DO63"")"),0)</f>
        <v>0</v>
      </c>
      <c r="N285" s="90">
        <f ca="1">IFERROR(__xludf.DUMMYFUNCTION("IMPORTRANGE(""https://docs.google.com/spreadsheets/d/1MeEWN-I1oV_STSDYn1IFDPWt_1FKiwhDph83XaGc0o0/edit?usp=sharing"",""งบพรบ!DQ63"")"),0)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IFERROR(__xludf.DUMMYFUNCTION("IMPORTRANGE(""https://docs.google.com/spreadsheets/d/1QqKyyYR6Q21VydFLVH3TRQUabQu_ym0Zz7PgGX0-kHA/edit?usp=sharing"",""แผน!EC63"")"),0)</f>
        <v>0</v>
      </c>
      <c r="J287" s="264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IFERROR(__xludf.DUMMYFUNCTION("IMPORTRANGE(""https://docs.google.com/spreadsheets/d/1QqKyyYR6Q21VydFLVH3TRQUabQu_ym0Zz7PgGX0-kHA/edit?usp=sharing"",""แผน!EB63"")"),0)</f>
        <v>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IFERROR(__xludf.DUMMYFUNCTION("IMPORTRANGE(""https://docs.google.com/spreadsheets/d/1QqKyyYR6Q21VydFLVH3TRQUabQu_ym0Zz7PgGX0-kHA/edit?usp=sharing"",""แผน!EB63"")"),0)</f>
        <v>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IFERROR(__xludf.DUMMYFUNCTION("IMPORTRANGE(""https://docs.google.com/spreadsheets/d/1QqKyyYR6Q21VydFLVH3TRQUabQu_ym0Zz7PgGX0-kHA/edit?usp=sharing"",""แผน!EB63"")"),0)</f>
        <v>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IFERROR(__xludf.DUMMYFUNCTION("IMPORTRANGE(""https://docs.google.com/spreadsheets/d/1QqKyyYR6Q21VydFLVH3TRQUabQu_ym0Zz7PgGX0-kHA/edit?usp=sharing"",""แผน!EB63"")"),0)</f>
        <v>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IFERROR(__xludf.DUMMYFUNCTION("IMPORTRANGE(""https://docs.google.com/spreadsheets/d/1QqKyyYR6Q21VydFLVH3TRQUabQu_ym0Zz7PgGX0-kHA/edit?usp=sharing"",""แผน!EB63"")"),0)</f>
        <v>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15</v>
      </c>
      <c r="J297" s="442">
        <f t="shared" si="133"/>
        <v>15</v>
      </c>
      <c r="K297" s="443">
        <f ca="1">IF(I297&gt;0,J297*100/I297,0)</f>
        <v>100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206800</v>
      </c>
      <c r="M298" s="151">
        <f t="shared" ca="1" si="134"/>
        <v>102840</v>
      </c>
      <c r="N298" s="151">
        <f t="shared" ca="1" si="134"/>
        <v>49820</v>
      </c>
      <c r="O298" s="151">
        <f t="shared" ref="O298:O306" ca="1" si="135">IF(L298&gt;0,N298*100/L298,0)</f>
        <v>24.09090909090909</v>
      </c>
      <c r="P298" s="151">
        <f t="shared" ref="P298:P306" ca="1" si="136">IF(M298&gt;0,N298*100/M298,0)</f>
        <v>48.444185141968106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206800</v>
      </c>
      <c r="M300" s="90">
        <f t="shared" ca="1" si="137"/>
        <v>102840</v>
      </c>
      <c r="N300" s="90">
        <f t="shared" ca="1" si="137"/>
        <v>49820</v>
      </c>
      <c r="O300" s="90">
        <f t="shared" ca="1" si="135"/>
        <v>24.09090909090909</v>
      </c>
      <c r="P300" s="90">
        <f t="shared" ca="1" si="136"/>
        <v>48.444185141968106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206800</v>
      </c>
      <c r="M301" s="495">
        <f t="shared" ca="1" si="138"/>
        <v>102840</v>
      </c>
      <c r="N301" s="495">
        <f t="shared" ca="1" si="138"/>
        <v>49820</v>
      </c>
      <c r="O301" s="495">
        <f t="shared" ca="1" si="135"/>
        <v>24.09090909090909</v>
      </c>
      <c r="P301" s="495">
        <f t="shared" ca="1" si="136"/>
        <v>48.444185141968106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IFERROR(__xludf.DUMMYFUNCTION("IMPORTRANGE(""https://docs.google.com/spreadsheets/d/1MeEWN-I1oV_STSDYn1IFDPWt_1FKiwhDph83XaGc0o0/edit?usp=sharing"",""งบพรบ!DS63"")"),206800)</f>
        <v>206800</v>
      </c>
      <c r="M303" s="90">
        <f ca="1">IFERROR(__xludf.DUMMYFUNCTION("IMPORTRANGE(""https://docs.google.com/spreadsheets/d/1MeEWN-I1oV_STSDYn1IFDPWt_1FKiwhDph83XaGc0o0/edit?usp=sharing"",""งบพรบ!DX63"")"),102840)</f>
        <v>102840</v>
      </c>
      <c r="N303" s="90">
        <f ca="1">IFERROR(__xludf.DUMMYFUNCTION("IMPORTRANGE(""https://docs.google.com/spreadsheets/d/1MeEWN-I1oV_STSDYn1IFDPWt_1FKiwhDph83XaGc0o0/edit?usp=sharing"",""งบพรบ!DZ63"")"),49820)</f>
        <v>49820</v>
      </c>
      <c r="O303" s="90">
        <f t="shared" ca="1" si="135"/>
        <v>24.09090909090909</v>
      </c>
      <c r="P303" s="90">
        <f t="shared" ca="1" si="136"/>
        <v>48.444185141968106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IFERROR(__xludf.DUMMYFUNCTION("IMPORTRANGE(""https://docs.google.com/spreadsheets/d/1MeEWN-I1oV_STSDYn1IFDPWt_1FKiwhDph83XaGc0o0/edit?usp=sharing"",""งบพรบ!DV63"")"),0)</f>
        <v>0</v>
      </c>
      <c r="M306" s="90">
        <f ca="1">IFERROR(__xludf.DUMMYFUNCTION("IMPORTRANGE(""https://docs.google.com/spreadsheets/d/1MeEWN-I1oV_STSDYn1IFDPWt_1FKiwhDph83XaGc0o0/edit?usp=sharing"",""งบพรบ!DY63"")"),0)</f>
        <v>0</v>
      </c>
      <c r="N306" s="90">
        <f ca="1">IFERROR(__xludf.DUMMYFUNCTION("IMPORTRANGE(""https://docs.google.com/spreadsheets/d/1MeEWN-I1oV_STSDYn1IFDPWt_1FKiwhDph83XaGc0o0/edit?usp=sharing"",""งบพรบ!EA63"")"),0)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1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IFERROR(__xludf.DUMMYFUNCTION("IMPORTRANGE(""https://docs.google.com/spreadsheets/d/1QqKyyYR6Q21VydFLVH3TRQUabQu_ym0Zz7PgGX0-kHA/edit?usp=sharing"",""แผน!ED63"")"),15)</f>
        <v>15</v>
      </c>
      <c r="J309" s="210">
        <v>15</v>
      </c>
      <c r="K309" s="495">
        <f t="shared" ref="K309:K312" ca="1" si="140">IF(I309&gt;0,J309*100/I309,0)</f>
        <v>100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IFERROR(__xludf.DUMMYFUNCTION("IMPORTRANGE(""https://docs.google.com/spreadsheets/d/1QqKyyYR6Q21VydFLVH3TRQUabQu_ym0Zz7PgGX0-kHA/edit?usp=sharing"",""แผน!ED63"")"),15)</f>
        <v>15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IFERROR(__xludf.DUMMYFUNCTION("IMPORTRANGE(""https://docs.google.com/spreadsheets/d/1QqKyyYR6Q21VydFLVH3TRQUabQu_ym0Zz7PgGX0-kHA/edit?usp=sharing"",""แผน!ED63"")"),15)</f>
        <v>15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IFERROR(__xludf.DUMMYFUNCTION("IMPORTRANGE(""https://docs.google.com/spreadsheets/d/1QqKyyYR6Q21VydFLVH3TRQUabQu_ym0Zz7PgGX0-kHA/edit?usp=sharing"",""แผน!EE63"")"),3)</f>
        <v>3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IFERROR(__xludf.DUMMYFUNCTION("IMPORTRANGE(""https://docs.google.com/spreadsheets/d/1MeEWN-I1oV_STSDYn1IFDPWt_1FKiwhDph83XaGc0o0/edit?usp=sharing"",""งบพรบ!EC63"")"),0)</f>
        <v>0</v>
      </c>
      <c r="M320" s="90">
        <f ca="1">IFERROR(__xludf.DUMMYFUNCTION("IMPORTRANGE(""https://docs.google.com/spreadsheets/d/1MeEWN-I1oV_STSDYn1IFDPWt_1FKiwhDph83XaGc0o0/edit?usp=sharing"",""งบพรบ!EH63"")"),0)</f>
        <v>0</v>
      </c>
      <c r="N320" s="90">
        <f ca="1">IFERROR(__xludf.DUMMYFUNCTION("IMPORTRANGE(""https://docs.google.com/spreadsheets/d/1MeEWN-I1oV_STSDYn1IFDPWt_1FKiwhDph83XaGc0o0/edit?usp=sharing"",""งบพรบ!EJ63"")"),0)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IFERROR(__xludf.DUMMYFUNCTION("IMPORTRANGE(""https://docs.google.com/spreadsheets/d/1MeEWN-I1oV_STSDYn1IFDPWt_1FKiwhDph83XaGc0o0/edit?usp=sharing"",""งบพรบ!EF63"")"),0)</f>
        <v>0</v>
      </c>
      <c r="M323" s="90">
        <f ca="1">IFERROR(__xludf.DUMMYFUNCTION("IMPORTRANGE(""https://docs.google.com/spreadsheets/d/1MeEWN-I1oV_STSDYn1IFDPWt_1FKiwhDph83XaGc0o0/edit?usp=sharing"",""งบพรบ!EI63"")"),0)</f>
        <v>0</v>
      </c>
      <c r="N323" s="90">
        <f ca="1">IFERROR(__xludf.DUMMYFUNCTION("IMPORTRANGE(""https://docs.google.com/spreadsheets/d/1MeEWN-I1oV_STSDYn1IFDPWt_1FKiwhDph83XaGc0o0/edit?usp=sharing"",""งบพรบ!EK63"")"),0)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IFERROR(__xludf.DUMMYFUNCTION("IMPORTRANGE(""https://docs.google.com/spreadsheets/d/1QqKyyYR6Q21VydFLVH3TRQUabQu_ym0Zz7PgGX0-kHA/edit?usp=sharing"",""แผน!EF63"")"),0)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IFERROR(__xludf.DUMMYFUNCTION("IMPORTRANGE(""https://docs.google.com/spreadsheets/d/1QqKyyYR6Q21VydFLVH3TRQUabQu_ym0Zz7PgGX0-kHA/edit?usp=sharing"",""แผน!EG63"")"),1000)</f>
        <v>1000</v>
      </c>
      <c r="J327" s="442">
        <f ca="1">J338+J341+J342+J343</f>
        <v>139</v>
      </c>
      <c r="K327" s="443">
        <f ca="1">IF(I327&gt;0,J327*100/I327,0)</f>
        <v>13.9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159000</v>
      </c>
      <c r="M328" s="151">
        <f t="shared" ca="1" si="148"/>
        <v>79500</v>
      </c>
      <c r="N328" s="151">
        <f t="shared" ca="1" si="148"/>
        <v>13000</v>
      </c>
      <c r="O328" s="151">
        <f t="shared" ref="O328:O336" ca="1" si="149">IF(L328&gt;0,N328*100/L328,0)</f>
        <v>8.1761006289308185</v>
      </c>
      <c r="P328" s="151">
        <f t="shared" ref="P328:P336" ca="1" si="150">IF(M328&gt;0,N328*100/M328,0)</f>
        <v>16.352201257861637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159000</v>
      </c>
      <c r="M330" s="90">
        <f t="shared" ca="1" si="151"/>
        <v>79500</v>
      </c>
      <c r="N330" s="90">
        <f t="shared" ca="1" si="151"/>
        <v>13000</v>
      </c>
      <c r="O330" s="90">
        <f t="shared" ca="1" si="149"/>
        <v>8.1761006289308185</v>
      </c>
      <c r="P330" s="90">
        <f t="shared" ca="1" si="150"/>
        <v>16.352201257861637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159000</v>
      </c>
      <c r="M331" s="495">
        <f t="shared" ca="1" si="152"/>
        <v>79500</v>
      </c>
      <c r="N331" s="495">
        <f t="shared" ca="1" si="152"/>
        <v>13000</v>
      </c>
      <c r="O331" s="495">
        <f t="shared" ca="1" si="149"/>
        <v>8.1761006289308185</v>
      </c>
      <c r="P331" s="495">
        <f t="shared" ca="1" si="150"/>
        <v>16.352201257861637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IFERROR(__xludf.DUMMYFUNCTION("IMPORTRANGE(""https://docs.google.com/spreadsheets/d/1MeEWN-I1oV_STSDYn1IFDPWt_1FKiwhDph83XaGc0o0/edit?usp=sharing"",""งบพรบ!EM63"")"),159000)</f>
        <v>159000</v>
      </c>
      <c r="M333" s="90">
        <f ca="1">IFERROR(__xludf.DUMMYFUNCTION("IMPORTRANGE(""https://docs.google.com/spreadsheets/d/1MeEWN-I1oV_STSDYn1IFDPWt_1FKiwhDph83XaGc0o0/edit?usp=sharing"",""งบพรบ!ER63"")"),79500)</f>
        <v>79500</v>
      </c>
      <c r="N333" s="90">
        <f ca="1">IFERROR(__xludf.DUMMYFUNCTION("IMPORTRANGE(""https://docs.google.com/spreadsheets/d/1MeEWN-I1oV_STSDYn1IFDPWt_1FKiwhDph83XaGc0o0/edit?usp=sharing"",""งบพรบ!ET63"")"),13000)</f>
        <v>13000</v>
      </c>
      <c r="O333" s="90">
        <f t="shared" ca="1" si="149"/>
        <v>8.1761006289308185</v>
      </c>
      <c r="P333" s="90">
        <f t="shared" ca="1" si="150"/>
        <v>16.352201257861637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IFERROR(__xludf.DUMMYFUNCTION("IMPORTRANGE(""https://docs.google.com/spreadsheets/d/1MeEWN-I1oV_STSDYn1IFDPWt_1FKiwhDph83XaGc0o0/edit?usp=sharing"",""งบพรบ!EP63"")"),0)</f>
        <v>0</v>
      </c>
      <c r="M336" s="90">
        <f ca="1">IFERROR(__xludf.DUMMYFUNCTION("IMPORTRANGE(""https://docs.google.com/spreadsheets/d/1MeEWN-I1oV_STSDYn1IFDPWt_1FKiwhDph83XaGc0o0/edit?usp=sharing"",""งบพรบ!ES63"")"),0)</f>
        <v>0</v>
      </c>
      <c r="N336" s="90">
        <f ca="1">IFERROR(__xludf.DUMMYFUNCTION("IMPORTRANGE(""https://docs.google.com/spreadsheets/d/1MeEWN-I1oV_STSDYn1IFDPWt_1FKiwhDph83XaGc0o0/edit?usp=sharing"",""งบพรบ!EU63"")"),0)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IFERROR(__xludf.DUMMYFUNCTION("IMPORTRANGE(""https://docs.google.com/spreadsheets/d/1QqKyyYR6Q21VydFLVH3TRQUabQu_ym0Zz7PgGX0-kHA/edit?usp=sharing"",""แผน!EG63"")"),1000)</f>
        <v>1000</v>
      </c>
      <c r="J338" s="264">
        <f ca="1">IFERROR(__xludf.DUMMYFUNCTION("IMPORTRANGE(""https://docs.google.com/spreadsheets/d/1kVcqe37tkHyjCSG3S0O1AXqVkqjo8mSIZil3BcpIysc/edit?usp=sharing"",""ศูนย์!D63"")"),139)</f>
        <v>139</v>
      </c>
      <c r="K338" s="495">
        <f ca="1">IF(I338&gt;0,J338*100/I338,0)</f>
        <v>13.9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IFERROR(__xludf.DUMMYFUNCTION("IMPORTRANGE(""https://docs.google.com/spreadsheets/d/1QqKyyYR6Q21VydFLVH3TRQUabQu_ym0Zz7PgGX0-kHA/edit?usp=sharing"",""แผน!EH63"")"),3)</f>
        <v>3</v>
      </c>
      <c r="J340" s="264">
        <f ca="1">IFERROR(__xludf.DUMMYFUNCTION("IMPORTRANGE(""https://docs.google.com/spreadsheets/d/1kVcqe37tkHyjCSG3S0O1AXqVkqjo8mSIZil3BcpIysc/edit?usp=sharing"",""ศูนย์!E63"")"),0)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IFERROR(__xludf.DUMMYFUNCTION("IMPORTRANGE(""https://docs.google.com/spreadsheets/d/1kVcqe37tkHyjCSG3S0O1AXqVkqjo8mSIZil3BcpIysc/edit?usp=sharing"",""ศูนย์!F63"")"),0)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IFERROR(__xludf.DUMMYFUNCTION("IMPORTRANGE(""https://docs.google.com/spreadsheets/d/1kVcqe37tkHyjCSG3S0O1AXqVkqjo8mSIZil3BcpIysc/edit?usp=sharing"",""ศูนย์!G63"")"),0)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IFERROR(__xludf.DUMMYFUNCTION("IMPORTRANGE(""https://docs.google.com/spreadsheets/d/1kVcqe37tkHyjCSG3S0O1AXqVkqjo8mSIZil3BcpIysc/edit?usp=sharing"",""ศูนย์!H63"")"),0)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774650</v>
      </c>
      <c r="M345" s="151">
        <f t="shared" ca="1" si="154"/>
        <v>482030</v>
      </c>
      <c r="N345" s="151">
        <f t="shared" ca="1" si="154"/>
        <v>258056</v>
      </c>
      <c r="O345" s="151">
        <f t="shared" ref="O345:O353" ca="1" si="155">IF(L345&gt;0,N345*100/L345,0)</f>
        <v>33.312592783837864</v>
      </c>
      <c r="P345" s="151">
        <f t="shared" ref="P345:P353" ca="1" si="156">IF(M345&gt;0,N345*100/M345,0)</f>
        <v>53.535257141671678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774650</v>
      </c>
      <c r="M347" s="90">
        <f t="shared" ca="1" si="157"/>
        <v>482030</v>
      </c>
      <c r="N347" s="90">
        <f t="shared" ca="1" si="157"/>
        <v>258056</v>
      </c>
      <c r="O347" s="90">
        <f t="shared" ca="1" si="155"/>
        <v>33.312592783837864</v>
      </c>
      <c r="P347" s="90">
        <f t="shared" ca="1" si="156"/>
        <v>53.535257141671678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585250</v>
      </c>
      <c r="M348" s="495">
        <f t="shared" ca="1" si="158"/>
        <v>292630</v>
      </c>
      <c r="N348" s="495">
        <f t="shared" ca="1" si="158"/>
        <v>68656</v>
      </c>
      <c r="O348" s="495">
        <f t="shared" ca="1" si="155"/>
        <v>11.73105510465613</v>
      </c>
      <c r="P348" s="495">
        <f t="shared" ca="1" si="156"/>
        <v>23.461709325769743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IFERROR(__xludf.DUMMYFUNCTION("IMPORTRANGE(""https://docs.google.com/spreadsheets/d/1MeEWN-I1oV_STSDYn1IFDPWt_1FKiwhDph83XaGc0o0/edit?usp=sharing"",""งบพรบ!EW63"")"),585250)</f>
        <v>585250</v>
      </c>
      <c r="M350" s="90">
        <f ca="1">IFERROR(__xludf.DUMMYFUNCTION("IMPORTRANGE(""https://docs.google.com/spreadsheets/d/1MeEWN-I1oV_STSDYn1IFDPWt_1FKiwhDph83XaGc0o0/edit?usp=sharing"",""งบพรบ!FB63"")"),292630)</f>
        <v>292630</v>
      </c>
      <c r="N350" s="90">
        <f ca="1">IFERROR(__xludf.DUMMYFUNCTION("IMPORTRANGE(""https://docs.google.com/spreadsheets/d/1MeEWN-I1oV_STSDYn1IFDPWt_1FKiwhDph83XaGc0o0/edit?usp=sharing"",""งบพรบ!FD63"")"),68656)</f>
        <v>68656</v>
      </c>
      <c r="O350" s="90">
        <f t="shared" ca="1" si="155"/>
        <v>11.73105510465613</v>
      </c>
      <c r="P350" s="90">
        <f t="shared" ca="1" si="156"/>
        <v>23.461709325769743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189400</v>
      </c>
      <c r="M351" s="495">
        <f t="shared" ca="1" si="159"/>
        <v>189400</v>
      </c>
      <c r="N351" s="495">
        <f t="shared" ca="1" si="159"/>
        <v>189400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IFERROR(__xludf.DUMMYFUNCTION("IMPORTRANGE(""https://docs.google.com/spreadsheets/d/1MeEWN-I1oV_STSDYn1IFDPWt_1FKiwhDph83XaGc0o0/edit?usp=sharing"",""งบพรบ!EZ63"")"),189400)</f>
        <v>189400</v>
      </c>
      <c r="M353" s="90">
        <f ca="1">IFERROR(__xludf.DUMMYFUNCTION("IMPORTRANGE(""https://docs.google.com/spreadsheets/d/1MeEWN-I1oV_STSDYn1IFDPWt_1FKiwhDph83XaGc0o0/edit?usp=sharing"",""งบพรบ!FC63"")"),189400)</f>
        <v>189400</v>
      </c>
      <c r="N353" s="90">
        <f ca="1">IFERROR(__xludf.DUMMYFUNCTION("IMPORTRANGE(""https://docs.google.com/spreadsheets/d/1MeEWN-I1oV_STSDYn1IFDPWt_1FKiwhDph83XaGc0o0/edit?usp=sharing"",""งบพรบ!FE63"")"),189400)</f>
        <v>189400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IFERROR(__xludf.DUMMYFUNCTION("IMPORTRANGE(""https://docs.google.com/spreadsheets/d/1QqKyyYR6Q21VydFLVH3TRQUabQu_ym0Zz7PgGX0-kHA/edit?usp=sharing"",""แผน!EP63"")"),40)</f>
        <v>40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IFERROR(__xludf.DUMMYFUNCTION("IMPORTRANGE(""https://docs.google.com/spreadsheets/d/1XWAQStnk-4SwqDmLtmXYiTMKHgktTP8We1SCoS47DrQ/edit?usp=sharing"",""จัดที่ดิน!W63"")"),0)</f>
        <v>0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IFERROR(__xludf.DUMMYFUNCTION("IMPORTRANGE(""https://docs.google.com/spreadsheets/d/1QqKyyYR6Q21VydFLVH3TRQUabQu_ym0Zz7PgGX0-kHA/edit?usp=sharing"",""แผน!EO63"")"),500)</f>
        <v>500</v>
      </c>
      <c r="J359" s="264">
        <f ca="1">IFERROR(__xludf.DUMMYFUNCTION("IMPORTRANGE(""https://docs.google.com/spreadsheets/d/1XWAQStnk-4SwqDmLtmXYiTMKHgktTP8We1SCoS47DrQ/edit?usp=sharing"",""จัดที่ดิน!X63"")"),0)</f>
        <v>0</v>
      </c>
      <c r="K359" s="495">
        <f t="shared" ca="1" si="160"/>
        <v>0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IFERROR(__xludf.DUMMYFUNCTION("IMPORTRANGE(""https://docs.google.com/spreadsheets/d/1QqKyyYR6Q21VydFLVH3TRQUabQu_ym0Zz7PgGX0-kHA/edit?usp=sharing"",""แผน!EP63"")"),40)</f>
        <v>40</v>
      </c>
      <c r="J360" s="264">
        <f ca="1">IFERROR(__xludf.DUMMYFUNCTION("IMPORTRANGE(""https://docs.google.com/spreadsheets/d/1XWAQStnk-4SwqDmLtmXYiTMKHgktTP8We1SCoS47DrQ/edit?usp=sharing"",""จัดที่ดิน!Y63"")"),0)</f>
        <v>0</v>
      </c>
      <c r="K360" s="495">
        <f t="shared" ca="1" si="160"/>
        <v>0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IFERROR(__xludf.DUMMYFUNCTION("IMPORTRANGE(""https://docs.google.com/spreadsheets/d/1XWAQStnk-4SwqDmLtmXYiTMKHgktTP8We1SCoS47DrQ/edit?usp=sharing"",""จัดที่ดิน!Z63"")"),0)</f>
        <v>0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IFERROR(__xludf.DUMMYFUNCTION("IMPORTRANGE(""https://docs.google.com/spreadsheets/d/1QqKyyYR6Q21VydFLVH3TRQUabQu_ym0Zz7PgGX0-kHA/edit?usp=sharing"",""แผน!EP63"")"),40)</f>
        <v>40</v>
      </c>
      <c r="J362" s="264">
        <f ca="1">IFERROR(__xludf.DUMMYFUNCTION("IMPORTRANGE(""https://docs.google.com/spreadsheets/d/1XWAQStnk-4SwqDmLtmXYiTMKHgktTP8We1SCoS47DrQ/edit?usp=sharing"",""จัดที่ดิน!AA63"")"),0)</f>
        <v>0</v>
      </c>
      <c r="K362" s="495">
        <f t="shared" ca="1" si="160"/>
        <v>0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IFERROR(__xludf.DUMMYFUNCTION("IMPORTRANGE(""https://docs.google.com/spreadsheets/d/1XWAQStnk-4SwqDmLtmXYiTMKHgktTP8We1SCoS47DrQ/edit?usp=sharing"",""จัดที่ดิน!AB63"")"),0)</f>
        <v>0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80</v>
      </c>
      <c r="J364" s="476">
        <f t="shared" ca="1" si="161"/>
        <v>0</v>
      </c>
      <c r="K364" s="477">
        <f t="shared" ca="1" si="160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IFERROR(__xludf.DUMMYFUNCTION("IMPORTRANGE(""https://docs.google.com/spreadsheets/d/1QqKyyYR6Q21VydFLVH3TRQUabQu_ym0Zz7PgGX0-kHA/edit?usp=sharing"",""แผน!EJ63"")"),16)</f>
        <v>16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IFERROR(__xludf.DUMMYFUNCTION("IMPORTRANGE(""https://docs.google.com/spreadsheets/d/1XWAQStnk-4SwqDmLtmXYiTMKHgktTP8We1SCoS47DrQ/edit?usp=sharing"",""จัดที่ดิน!E63"")"),0)</f>
        <v>0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IFERROR(__xludf.DUMMYFUNCTION("IMPORTRANGE(""https://docs.google.com/spreadsheets/d/1QqKyyYR6Q21VydFLVH3TRQUabQu_ym0Zz7PgGX0-kHA/edit?usp=sharing"",""แผน!EI63"")"),200)</f>
        <v>200</v>
      </c>
      <c r="J369" s="264">
        <f ca="1">IFERROR(__xludf.DUMMYFUNCTION("IMPORTRANGE(""https://docs.google.com/spreadsheets/d/1XWAQStnk-4SwqDmLtmXYiTMKHgktTP8We1SCoS47DrQ/edit?usp=sharing"",""จัดที่ดิน!F63"")"),0)</f>
        <v>0</v>
      </c>
      <c r="K369" s="495">
        <f t="shared" ca="1" si="162"/>
        <v>0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IFERROR(__xludf.DUMMYFUNCTION("IMPORTRANGE(""https://docs.google.com/spreadsheets/d/1QqKyyYR6Q21VydFLVH3TRQUabQu_ym0Zz7PgGX0-kHA/edit?usp=sharing"",""แผน!EJ63"")"),16)</f>
        <v>16</v>
      </c>
      <c r="J370" s="264">
        <f ca="1">IFERROR(__xludf.DUMMYFUNCTION("IMPORTRANGE(""https://docs.google.com/spreadsheets/d/1XWAQStnk-4SwqDmLtmXYiTMKHgktTP8We1SCoS47DrQ/edit?usp=sharing"",""จัดที่ดิน!G63"")"),0)</f>
        <v>0</v>
      </c>
      <c r="K370" s="495">
        <f t="shared" ca="1" si="162"/>
        <v>0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IFERROR(__xludf.DUMMYFUNCTION("IMPORTRANGE(""https://docs.google.com/spreadsheets/d/1XWAQStnk-4SwqDmLtmXYiTMKHgktTP8We1SCoS47DrQ/edit?usp=sharing"",""จัดที่ดิน!H63"")"),0)</f>
        <v>0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IFERROR(__xludf.DUMMYFUNCTION("IMPORTRANGE(""https://docs.google.com/spreadsheets/d/1QqKyyYR6Q21VydFLVH3TRQUabQu_ym0Zz7PgGX0-kHA/edit?usp=sharing"",""แผน!EJ63"")"),16)</f>
        <v>16</v>
      </c>
      <c r="J372" s="264">
        <f ca="1">IFERROR(__xludf.DUMMYFUNCTION("IMPORTRANGE(""https://docs.google.com/spreadsheets/d/1XWAQStnk-4SwqDmLtmXYiTMKHgktTP8We1SCoS47DrQ/edit?usp=sharing"",""จัดที่ดิน!I63"")"),0)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IFERROR(__xludf.DUMMYFUNCTION("IMPORTRANGE(""https://docs.google.com/spreadsheets/d/1XWAQStnk-4SwqDmLtmXYiTMKHgktTP8We1SCoS47DrQ/edit?usp=sharing"",""จัดที่ดิน!J63"")"),0)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IFERROR(__xludf.DUMMYFUNCTION("IMPORTRANGE(""https://docs.google.com/spreadsheets/d/1QqKyyYR6Q21VydFLVH3TRQUabQu_ym0Zz7PgGX0-kHA/edit?usp=sharing"",""แผน!EU63"")"),64)</f>
        <v>64</v>
      </c>
      <c r="J374" s="488">
        <f ca="1">J381</f>
        <v>0</v>
      </c>
      <c r="K374" s="489">
        <f t="shared" ca="1" si="162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IFERROR(__xludf.DUMMYFUNCTION("IMPORTRANGE(""https://docs.google.com/spreadsheets/d/1XWAQStnk-4SwqDmLtmXYiTMKHgktTP8We1SCoS47DrQ/edit?usp=sharing"",""จัดที่ดิน!AH63"")"),0)</f>
        <v>0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IFERROR(__xludf.DUMMYFUNCTION("IMPORTRANGE(""https://docs.google.com/spreadsheets/d/1QqKyyYR6Q21VydFLVH3TRQUabQu_ym0Zz7PgGX0-kHA/edit?usp=sharing"",""แผน!ET63"")"),300)</f>
        <v>300</v>
      </c>
      <c r="J378" s="264">
        <f ca="1">IFERROR(__xludf.DUMMYFUNCTION("IMPORTRANGE(""https://docs.google.com/spreadsheets/d/1XWAQStnk-4SwqDmLtmXYiTMKHgktTP8We1SCoS47DrQ/edit?usp=sharing"",""จัดที่ดิน!AI63"")"),0)</f>
        <v>0</v>
      </c>
      <c r="K378" s="495">
        <f t="shared" ca="1" si="163"/>
        <v>0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IFERROR(__xludf.DUMMYFUNCTION("IMPORTRANGE(""https://docs.google.com/spreadsheets/d/1QqKyyYR6Q21VydFLVH3TRQUabQu_ym0Zz7PgGX0-kHA/edit?usp=sharing"",""แผน!EU63"")"),64)</f>
        <v>64</v>
      </c>
      <c r="J379" s="264">
        <f ca="1">IFERROR(__xludf.DUMMYFUNCTION("IMPORTRANGE(""https://docs.google.com/spreadsheets/d/1XWAQStnk-4SwqDmLtmXYiTMKHgktTP8We1SCoS47DrQ/edit?usp=sharing"",""จัดที่ดิน!AJ63"")"),0)</f>
        <v>0</v>
      </c>
      <c r="K379" s="495">
        <f t="shared" ca="1" si="163"/>
        <v>0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IFERROR(__xludf.DUMMYFUNCTION("IMPORTRANGE(""https://docs.google.com/spreadsheets/d/1XWAQStnk-4SwqDmLtmXYiTMKHgktTP8We1SCoS47DrQ/edit?usp=sharing"",""จัดที่ดิน!AK63"")"),0)</f>
        <v>0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IFERROR(__xludf.DUMMYFUNCTION("IMPORTRANGE(""https://docs.google.com/spreadsheets/d/1QqKyyYR6Q21VydFLVH3TRQUabQu_ym0Zz7PgGX0-kHA/edit?usp=sharing"",""แผน!EU63"")"),64)</f>
        <v>64</v>
      </c>
      <c r="J381" s="264">
        <f ca="1">IFERROR(__xludf.DUMMYFUNCTION("IMPORTRANGE(""https://docs.google.com/spreadsheets/d/1XWAQStnk-4SwqDmLtmXYiTMKHgktTP8We1SCoS47DrQ/edit?usp=sharing"",""จัดที่ดิน!AL63"")"),0)</f>
        <v>0</v>
      </c>
      <c r="K381" s="495">
        <f t="shared" ca="1" si="163"/>
        <v>0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IFERROR(__xludf.DUMMYFUNCTION("IMPORTRANGE(""https://docs.google.com/spreadsheets/d/1XWAQStnk-4SwqDmLtmXYiTMKHgktTP8We1SCoS47DrQ/edit?usp=sharing"",""จัดที่ดิน!AM63"")"),0)</f>
        <v>0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IFERROR(__xludf.DUMMYFUNCTION("IMPORTRANGE(""https://docs.google.com/spreadsheets/d/1QqKyyYR6Q21VydFLVH3TRQUabQu_ym0Zz7PgGX0-kHA/edit?usp=sharing"",""แผน!EW63"")"),5)</f>
        <v>5</v>
      </c>
      <c r="J385" s="498">
        <f ca="1">IFERROR(__xludf.DUMMYFUNCTION("IMPORTRANGE(""https://docs.google.com/spreadsheets/d/1XWAQStnk-4SwqDmLtmXYiTMKHgktTP8We1SCoS47DrQ/edit?usp=sharing"",""จัดที่ดิน!AP63"")"),0)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IFERROR(__xludf.DUMMYFUNCTION("IMPORTRANGE(""https://docs.google.com/spreadsheets/d/1MeEWN-I1oV_STSDYn1IFDPWt_1FKiwhDph83XaGc0o0/edit?usp=sharing"",""งบพรบ!FG63"")"),0)</f>
        <v>0</v>
      </c>
      <c r="M394" s="90">
        <f ca="1">IFERROR(__xludf.DUMMYFUNCTION("IMPORTRANGE(""https://docs.google.com/spreadsheets/d/1MeEWN-I1oV_STSDYn1IFDPWt_1FKiwhDph83XaGc0o0/edit?usp=sharing"",""งบพรบ!FL63"")"),0)</f>
        <v>0</v>
      </c>
      <c r="N394" s="90">
        <f ca="1">IFERROR(__xludf.DUMMYFUNCTION("IMPORTRANGE(""https://docs.google.com/spreadsheets/d/1MeEWN-I1oV_STSDYn1IFDPWt_1FKiwhDph83XaGc0o0/edit?usp=sharing"",""งบพรบ!FN63"")"),0)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IFERROR(__xludf.DUMMYFUNCTION("IMPORTRANGE(""https://docs.google.com/spreadsheets/d/1MeEWN-I1oV_STSDYn1IFDPWt_1FKiwhDph83XaGc0o0/edit?usp=sharing"",""งบพรบ!FJ63"")"),0)</f>
        <v>0</v>
      </c>
      <c r="M397" s="90">
        <f ca="1">IFERROR(__xludf.DUMMYFUNCTION("IMPORTRANGE(""https://docs.google.com/spreadsheets/d/1MeEWN-I1oV_STSDYn1IFDPWt_1FKiwhDph83XaGc0o0/edit?usp=sharing"",""งบพรบ!FM63"")"),0)</f>
        <v>0</v>
      </c>
      <c r="N397" s="90">
        <f ca="1">IFERROR(__xludf.DUMMYFUNCTION("IMPORTRANGE(""https://docs.google.com/spreadsheets/d/1MeEWN-I1oV_STSDYn1IFDPWt_1FKiwhDph83XaGc0o0/edit?usp=sharing"",""งบพรบ!FO63"")"),0)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IFERROR(__xludf.DUMMYFUNCTION("IMPORTRANGE(""https://docs.google.com/spreadsheets/d/1MeEWN-I1oV_STSDYn1IFDPWt_1FKiwhDph83XaGc0o0/edit?usp=sharing"",""งบพรบ!FQ63"")"),0)</f>
        <v>0</v>
      </c>
      <c r="M407" s="90">
        <f ca="1">IFERROR(__xludf.DUMMYFUNCTION("IMPORTRANGE(""https://docs.google.com/spreadsheets/d/1MeEWN-I1oV_STSDYn1IFDPWt_1FKiwhDph83XaGc0o0/edit?usp=sharing"",""งบพรบ!FV63"")"),0)</f>
        <v>0</v>
      </c>
      <c r="N407" s="90">
        <f ca="1">IFERROR(__xludf.DUMMYFUNCTION("IMPORTRANGE(""https://docs.google.com/spreadsheets/d/1MeEWN-I1oV_STSDYn1IFDPWt_1FKiwhDph83XaGc0o0/edit?usp=sharing"",""งบพรบ!FX63"")"),0)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IFERROR(__xludf.DUMMYFUNCTION("IMPORTRANGE(""https://docs.google.com/spreadsheets/d/1MeEWN-I1oV_STSDYn1IFDPWt_1FKiwhDph83XaGc0o0/edit?usp=sharing"",""งบพรบ!FT63"")"),0)</f>
        <v>0</v>
      </c>
      <c r="M410" s="90">
        <f ca="1">IFERROR(__xludf.DUMMYFUNCTION("IMPORTRANGE(""https://docs.google.com/spreadsheets/d/1MeEWN-I1oV_STSDYn1IFDPWt_1FKiwhDph83XaGc0o0/edit?usp=sharing"",""งบพรบ!FW63"")"),0)</f>
        <v>0</v>
      </c>
      <c r="N410" s="90">
        <f ca="1">IFERROR(__xludf.DUMMYFUNCTION("IMPORTRANGE(""https://docs.google.com/spreadsheets/d/1MeEWN-I1oV_STSDYn1IFDPWt_1FKiwhDph83XaGc0o0/edit?usp=sharing"",""งบพรบ!FY63"")"),0)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723543</v>
      </c>
      <c r="M414" s="546">
        <f t="shared" si="180"/>
        <v>0</v>
      </c>
      <c r="N414" s="546">
        <f t="shared" si="180"/>
        <v>50180</v>
      </c>
      <c r="O414" s="546">
        <f ca="1">IF(L414&gt;0,N414*100/L414,0)</f>
        <v>6.9353169058369719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15</v>
      </c>
      <c r="J417" s="562">
        <f t="shared" ca="1" si="181"/>
        <v>15</v>
      </c>
      <c r="K417" s="563">
        <f t="shared" ref="K417:K418" ca="1" si="182">IF(I417&gt;0,J417*100/I417,0)</f>
        <v>100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1</v>
      </c>
      <c r="K418" s="563">
        <f t="shared" ca="1" si="182"/>
        <v>100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66560</v>
      </c>
      <c r="M419" s="151">
        <f t="shared" si="183"/>
        <v>0</v>
      </c>
      <c r="N419" s="151">
        <f t="shared" si="183"/>
        <v>47180</v>
      </c>
      <c r="O419" s="151">
        <f t="shared" ref="O419:O424" ca="1" si="184">IF(L419&gt;0,N419*100/L419,0)</f>
        <v>70.883413461538467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66560</v>
      </c>
      <c r="M421" s="90">
        <f t="shared" si="186"/>
        <v>0</v>
      </c>
      <c r="N421" s="90">
        <f t="shared" si="186"/>
        <v>47180</v>
      </c>
      <c r="O421" s="90">
        <f t="shared" ca="1" si="184"/>
        <v>70.883413461538467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66560</v>
      </c>
      <c r="M422" s="495">
        <f t="shared" si="187"/>
        <v>0</v>
      </c>
      <c r="N422" s="495">
        <f t="shared" si="187"/>
        <v>47180</v>
      </c>
      <c r="O422" s="495">
        <f t="shared" ca="1" si="184"/>
        <v>70.883413461538467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IFERROR(__xludf.DUMMYFUNCTION("IMPORTRANGE(""https://docs.google.com/spreadsheets/d/1QqKyyYR6Q21VydFLVH3TRQUabQu_ym0Zz7PgGX0-kHA/edit?usp=sharing"",""แผน!EY63"")"),66560)</f>
        <v>66560</v>
      </c>
      <c r="M424" s="90">
        <v>0</v>
      </c>
      <c r="N424" s="90">
        <f>N425+N426+N427+N428</f>
        <v>47180</v>
      </c>
      <c r="O424" s="90">
        <f t="shared" ca="1" si="184"/>
        <v>70.883413461538467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36300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10880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IFERROR(__xludf.DUMMYFUNCTION("IMPORTRANGE(""https://docs.google.com/spreadsheets/d/1QqKyyYR6Q21VydFLVH3TRQUabQu_ym0Zz7PgGX0-kHA/edit?usp=sharing"",""แผน!FB63"")"),0)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15</v>
      </c>
      <c r="J433" s="673">
        <f ca="1">IF(AND(J435=I435,J437=I437,J439=I439),I437+I439,IF(AND(J435=I437,J437=I437),I437,IF(AND(J435=I439,J439=I439),I439,0)))</f>
        <v>15</v>
      </c>
      <c r="K433" s="191">
        <f t="shared" ref="K433:K435" ca="1" si="191">IF(I433&gt;0,J433*100/I433,0)</f>
        <v>100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1</v>
      </c>
      <c r="K434" s="191">
        <f t="shared" ca="1" si="191"/>
        <v>100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IFERROR(__xludf.DUMMYFUNCTION("IMPORTRANGE(""https://docs.google.com/spreadsheets/d/1QqKyyYR6Q21VydFLVH3TRQUabQu_ym0Zz7PgGX0-kHA/edit?usp=sharing"",""แผน!FC63"")"),15)</f>
        <v>15</v>
      </c>
      <c r="J435" s="576">
        <v>15</v>
      </c>
      <c r="K435" s="495">
        <f t="shared" ca="1" si="191"/>
        <v>100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IFERROR(__xludf.DUMMYFUNCTION("IMPORTRANGE(""https://docs.google.com/spreadsheets/d/1QqKyyYR6Q21VydFLVH3TRQUabQu_ym0Zz7PgGX0-kHA/edit?usp=sharing"",""แผน!FD63"")"),0)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IFERROR(__xludf.DUMMYFUNCTION("IMPORTRANGE(""https://docs.google.com/spreadsheets/d/1QqKyyYR6Q21VydFLVH3TRQUabQu_ym0Zz7PgGX0-kHA/edit?usp=sharing"",""แผน!FE63"")"),0)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IFERROR(__xludf.DUMMYFUNCTION("IMPORTRANGE(""https://docs.google.com/spreadsheets/d/1QqKyyYR6Q21VydFLVH3TRQUabQu_ym0Zz7PgGX0-kHA/edit?usp=sharing"",""แผน!FF63"")"),15)</f>
        <v>15</v>
      </c>
      <c r="J439" s="576">
        <v>15</v>
      </c>
      <c r="K439" s="495">
        <f t="shared" ca="1" si="193"/>
        <v>100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IFERROR(__xludf.DUMMYFUNCTION("IMPORTRANGE(""https://docs.google.com/spreadsheets/d/1QqKyyYR6Q21VydFLVH3TRQUabQu_ym0Zz7PgGX0-kHA/edit?usp=sharing"",""แผน!FG63"")"),1)</f>
        <v>1</v>
      </c>
      <c r="J440" s="210">
        <v>1</v>
      </c>
      <c r="K440" s="495">
        <f t="shared" ca="1" si="193"/>
        <v>100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IFERROR(__xludf.DUMMYFUNCTION("IMPORTRANGE(""https://docs.google.com/spreadsheets/d/1QqKyyYR6Q21VydFLVH3TRQUabQu_ym0Zz7PgGX0-kHA/edit?usp=sharing"",""แผน!FH63"")"),0)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30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90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172480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172480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172480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IFERROR(__xludf.DUMMYFUNCTION("IMPORTRANGE(""https://docs.google.com/spreadsheets/d/1QqKyyYR6Q21VydFLVH3TRQUabQu_ym0Zz7PgGX0-kHA/edit?usp=sharing"",""แผน!FJ63"")"),172480)</f>
        <v>172480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IFERROR(__xludf.DUMMYFUNCTION("IMPORTRANGE(""https://docs.google.com/spreadsheets/d/1QqKyyYR6Q21VydFLVH3TRQUabQu_ym0Zz7PgGX0-kHA/edit?usp=sharing"",""แผน!FM63"")"),0)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IFERROR(__xludf.DUMMYFUNCTION("IMPORTRANGE(""https://docs.google.com/spreadsheets/d/1QqKyyYR6Q21VydFLVH3TRQUabQu_ym0Zz7PgGX0-kHA/edit?usp=sharing"",""แผน!FN63"")"),30)</f>
        <v>30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IFERROR(__xludf.DUMMYFUNCTION("IMPORTRANGE(""https://docs.google.com/spreadsheets/d/1QqKyyYR6Q21VydFLVH3TRQUabQu_ym0Zz7PgGX0-kHA/edit?usp=sharing"",""แผน!FO63"")"),90)</f>
        <v>90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IFERROR(__xludf.DUMMYFUNCTION("IMPORTRANGE(""https://docs.google.com/spreadsheets/d/1QqKyyYR6Q21VydFLVH3TRQUabQu_ym0Zz7PgGX0-kHA/edit?usp=sharing"",""แผน!FO63"")"),90)</f>
        <v>90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IFERROR(__xludf.DUMMYFUNCTION("IMPORTRANGE(""https://docs.google.com/spreadsheets/d/1QqKyyYR6Q21VydFLVH3TRQUabQu_ym0Zz7PgGX0-kHA/edit?usp=sharing"",""แผน!FN63"")"),30)</f>
        <v>30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IFERROR(__xludf.DUMMYFUNCTION("IMPORTRANGE(""https://docs.google.com/spreadsheets/d/1QqKyyYR6Q21VydFLVH3TRQUabQu_ym0Zz7PgGX0-kHA/edit?usp=sharing"",""แผน!FX63"")"),31)</f>
        <v>31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IFERROR(__xludf.DUMMYFUNCTION("IMPORTRANGE(""https://docs.google.com/spreadsheets/d/1QqKyyYR6Q21VydFLVH3TRQUabQu_ym0Zz7PgGX0-kHA/edit?usp=sharing"",""แผน!FW63"")"),300)</f>
        <v>300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250523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250523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250523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IFERROR(__xludf.DUMMYFUNCTION("IMPORTRANGE(""https://docs.google.com/spreadsheets/d/1QqKyyYR6Q21VydFLVH3TRQUabQu_ym0Zz7PgGX0-kHA/edit?usp=sharing"",""แผน!FS63"")"),250523)</f>
        <v>250523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IFERROR(__xludf.DUMMYFUNCTION("IMPORTRANGE(""https://docs.google.com/spreadsheets/d/1QqKyyYR6Q21VydFLVH3TRQUabQu_ym0Zz7PgGX0-kHA/edit?usp=sharing"",""แผน!FV63"")"),0)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IFERROR(__xludf.DUMMYFUNCTION("IMPORTRANGE(""https://docs.google.com/spreadsheets/d/1QqKyyYR6Q21VydFLVH3TRQUabQu_ym0Zz7PgGX0-kHA/edit?usp=sharing"",""แผน!FY63"")"),270)</f>
        <v>270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IFERROR(__xludf.DUMMYFUNCTION("IMPORTRANGE(""https://docs.google.com/spreadsheets/d/1QqKyyYR6Q21VydFLVH3TRQUabQu_ym0Zz7PgGX0-kHA/edit?usp=sharing"",""แผน!FZ63"")"),27)</f>
        <v>27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IFERROR(__xludf.DUMMYFUNCTION("IMPORTRANGE(""https://docs.google.com/spreadsheets/d/1QqKyyYR6Q21VydFLVH3TRQUabQu_ym0Zz7PgGX0-kHA/edit?usp=sharing"",""แผน!GA63"")"),30)</f>
        <v>30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IFERROR(__xludf.DUMMYFUNCTION("IMPORTRANGE(""https://docs.google.com/spreadsheets/d/1QqKyyYR6Q21VydFLVH3TRQUabQu_ym0Zz7PgGX0-kHA/edit?usp=sharing"",""แผน!GB63"")"),3)</f>
        <v>3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IFERROR(__xludf.DUMMYFUNCTION("IMPORTRANGE(""https://docs.google.com/spreadsheets/d/1QqKyyYR6Q21VydFLVH3TRQUabQu_ym0Zz7PgGX0-kHA/edit?usp=sharing"",""แผน!GC63"")"),1)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IFERROR(__xludf.DUMMYFUNCTION("IMPORTRANGE(""https://docs.google.com/spreadsheets/d/1QqKyyYR6Q21VydFLVH3TRQUabQu_ym0Zz7PgGX0-kHA/edit?usp=sharing"",""แผน!FY63"")"),270)</f>
        <v>270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IFERROR(__xludf.DUMMYFUNCTION("IMPORTRANGE(""https://docs.google.com/spreadsheets/d/1QqKyyYR6Q21VydFLVH3TRQUabQu_ym0Zz7PgGX0-kHA/edit?usp=sharing"",""แผน!GA63"")"),30)</f>
        <v>30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 hidden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IFERROR(__xludf.DUMMYFUNCTION("IMPORTRANGE(""https://docs.google.com/spreadsheets/d/1QqKyyYR6Q21VydFLVH3TRQUabQu_ym0Zz7PgGX0-kHA/edit?usp=sharing"",""แผน!GQ63"")"),0)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IFERROR(__xludf.DUMMYFUNCTION("IMPORTRANGE(""https://docs.google.com/spreadsheets/d/1QqKyyYR6Q21VydFLVH3TRQUabQu_ym0Zz7PgGX0-kHA/edit?usp=sharing"",""แผน!GT63"")"),0)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IFERROR(__xludf.DUMMYFUNCTION("IMPORTRANGE(""https://docs.google.com/spreadsheets/d/1QqKyyYR6Q21VydFLVH3TRQUabQu_ym0Zz7PgGX0-kHA/edit?usp=sharing"",""แผน!GU63"")"),0)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IFERROR(__xludf.DUMMYFUNCTION("IMPORTRANGE(""https://docs.google.com/spreadsheets/d/1QqKyyYR6Q21VydFLVH3TRQUabQu_ym0Zz7PgGX0-kHA/edit?usp=sharing"",""แผน!GV63"")"),0)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IFERROR(__xludf.DUMMYFUNCTION("IMPORTRANGE(""https://docs.google.com/spreadsheets/d/1QqKyyYR6Q21VydFLVH3TRQUabQu_ym0Zz7PgGX0-kHA/edit?usp=sharing"",""แผน!GW63"")"),0)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IFERROR(__xludf.DUMMYFUNCTION("IMPORTRANGE(""https://docs.google.com/spreadsheets/d/1QqKyyYR6Q21VydFLVH3TRQUabQu_ym0Zz7PgGX0-kHA/edit?usp=sharing"",""แผน!GX63"")"),0)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IFERROR(__xludf.DUMMYFUNCTION("IMPORTRANGE(""https://docs.google.com/spreadsheets/d/1QqKyyYR6Q21VydFLVH3TRQUabQu_ym0Zz7PgGX0-kHA/edit?usp=sharing"",""แผน!GY63"")"),0)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IFERROR(__xludf.DUMMYFUNCTION("IMPORTRANGE(""https://docs.google.com/spreadsheets/d/1QqKyyYR6Q21VydFLVH3TRQUabQu_ym0Zz7PgGX0-kHA/edit?usp=sharing"",""แผน!GZ63"")"),0)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218300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218300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218300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IFERROR(__xludf.DUMMYFUNCTION("IMPORTRANGE(""https://docs.google.com/spreadsheets/d/1QqKyyYR6Q21VydFLVH3TRQUabQu_ym0Zz7PgGX0-kHA/edit?usp=sharing"",""แผน!HB63"")"),218300)</f>
        <v>218300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IFERROR(__xludf.DUMMYFUNCTION("IMPORTRANGE(""https://docs.google.com/spreadsheets/d/1QqKyyYR6Q21VydFLVH3TRQUabQu_ym0Zz7PgGX0-kHA/edit?usp=sharing"",""แผน!HF63"")"),0)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IFERROR(__xludf.DUMMYFUNCTION("IMPORTRANGE(""https://docs.google.com/spreadsheets/d/1QqKyyYR6Q21VydFLVH3TRQUabQu_ym0Zz7PgGX0-kHA/edit?usp=sharing"",""แผน!HH63"")"),0)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IFERROR(__xludf.DUMMYFUNCTION("IMPORTRANGE(""https://docs.google.com/spreadsheets/d/1QqKyyYR6Q21VydFLVH3TRQUabQu_ym0Zz7PgGX0-kHA/edit?usp=sharing"",""แผน!HG63"")"),0)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IFERROR(__xludf.DUMMYFUNCTION("IMPORTRANGE(""https://docs.google.com/spreadsheets/d/1QqKyyYR6Q21VydFLVH3TRQUabQu_ym0Zz7PgGX0-kHA/edit?usp=sharing"",""แผน!HH63"")"),0)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IFERROR(__xludf.DUMMYFUNCTION("IMPORTRANGE(""https://docs.google.com/spreadsheets/d/1QqKyyYR6Q21VydFLVH3TRQUabQu_ym0Zz7PgGX0-kHA/edit?usp=sharing"",""แผน!HG63"")"),0)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IFERROR(__xludf.DUMMYFUNCTION("IMPORTRANGE(""https://docs.google.com/spreadsheets/d/1QqKyyYR6Q21VydFLVH3TRQUabQu_ym0Zz7PgGX0-kHA/edit?usp=sharing"",""แผน!HH63"")"),0)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IFERROR(__xludf.DUMMYFUNCTION("IMPORTRANGE(""https://docs.google.com/spreadsheets/d/1QqKyyYR6Q21VydFLVH3TRQUabQu_ym0Zz7PgGX0-kHA/edit?usp=sharing"",""แผน!HG63"")"),0)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425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IFERROR(__xludf.DUMMYFUNCTION("IMPORTRANGE(""https://docs.google.com/spreadsheets/d/1QqKyyYR6Q21VydFLVH3TRQUabQu_ym0Zz7PgGX0-kHA/edit?usp=sharing"",""แผน!HJ63"")"),425)</f>
        <v>425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IFERROR(__xludf.DUMMYFUNCTION("IMPORTRANGE(""https://docs.google.com/spreadsheets/d/1QqKyyYR6Q21VydFLVH3TRQUabQu_ym0Zz7PgGX0-kHA/edit?usp=sharing"",""แผน!HI63"")"),21)</f>
        <v>21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IFERROR(__xludf.DUMMYFUNCTION("IMPORTRANGE(""https://docs.google.com/spreadsheets/d/1QqKyyYR6Q21VydFLVH3TRQUabQu_ym0Zz7PgGX0-kHA/edit?usp=sharing"",""แผน!HL63"")"),0)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IFERROR(__xludf.DUMMYFUNCTION("IMPORTRANGE(""https://docs.google.com/spreadsheets/d/1QqKyyYR6Q21VydFLVH3TRQUabQu_ym0Zz7PgGX0-kHA/edit?usp=sharing"",""แผน!HK63"")"),0)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0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0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0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IFERROR(__xludf.DUMMYFUNCTION("IMPORTRANGE(""https://docs.google.com/spreadsheets/d/1QqKyyYR6Q21VydFLVH3TRQUabQu_ym0Zz7PgGX0-kHA/edit?usp=sharing"",""แผน!HN63"")"),0)</f>
        <v>0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IFERROR(__xludf.DUMMYFUNCTION("IMPORTRANGE(""https://docs.google.com/spreadsheets/d/1QqKyyYR6Q21VydFLVH3TRQUabQu_ym0Zz7PgGX0-kHA/edit?usp=sharing"",""แผน!HQ63"")"),0)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IFERROR(__xludf.DUMMYFUNCTION("IMPORTRANGE(""https://docs.google.com/spreadsheets/d/1QqKyyYR6Q21VydFLVH3TRQUabQu_ym0Zz7PgGX0-kHA/edit?usp=sharing"",""แผน!HR63"")"),0)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IFERROR(__xludf.DUMMYFUNCTION("IMPORTRANGE(""https://docs.google.com/spreadsheets/d/1QqKyyYR6Q21VydFLVH3TRQUabQu_ym0Zz7PgGX0-kHA/edit?usp=sharing"",""แผน!HR63"")"),0)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IFERROR(__xludf.DUMMYFUNCTION("IMPORTRANGE(""https://docs.google.com/spreadsheets/d/1XWAQStnk-4SwqDmLtmXYiTMKHgktTP8We1SCoS47DrQ/edit?usp=sharing"",""จัดที่ดิน!AS63"")"),0)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IFERROR(__xludf.DUMMYFUNCTION("IMPORTRANGE(""https://docs.google.com/spreadsheets/d/1XWAQStnk-4SwqDmLtmXYiTMKHgktTP8We1SCoS47DrQ/edit?usp=sharing"",""จัดที่ดิน!AT63"")"),0)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IFERROR(__xludf.DUMMYFUNCTION("IMPORTRANGE(""https://docs.google.com/spreadsheets/d/1QqKyyYR6Q21VydFLVH3TRQUabQu_ym0Zz7PgGX0-kHA/edit?usp=sharing"",""แผน!HS63"")"),0)</f>
        <v>0</v>
      </c>
      <c r="J647" s="264">
        <f ca="1">IFERROR(__xludf.DUMMYFUNCTION("IMPORTRANGE(""https://docs.google.com/spreadsheets/d/1XWAQStnk-4SwqDmLtmXYiTMKHgktTP8We1SCoS47DrQ/edit?usp=sharing"",""จัดที่ดิน!AU63"")"),0)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IFERROR(__xludf.DUMMYFUNCTION("IMPORTRANGE(""https://docs.google.com/spreadsheets/d/1XWAQStnk-4SwqDmLtmXYiTMKHgktTP8We1SCoS47DrQ/edit?usp=sharing"",""จัดที่ดิน!AV63"")"),0)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IFERROR(__xludf.DUMMYFUNCTION("IMPORTRANGE(""https://docs.google.com/spreadsheets/d/1QqKyyYR6Q21VydFLVH3TRQUabQu_ym0Zz7PgGX0-kHA/edit?usp=sharing"",""แผน!HS63"")"),0)</f>
        <v>0</v>
      </c>
      <c r="J649" s="264">
        <f ca="1">IFERROR(__xludf.DUMMYFUNCTION("IMPORTRANGE(""https://docs.google.com/spreadsheets/d/1XWAQStnk-4SwqDmLtmXYiTMKHgktTP8We1SCoS47DrQ/edit?usp=sharing"",""จัดที่ดิน!AW63"")"),0)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IFERROR(__xludf.DUMMYFUNCTION("IMPORTRANGE(""https://docs.google.com/spreadsheets/d/1XWAQStnk-4SwqDmLtmXYiTMKHgktTP8We1SCoS47DrQ/edit?usp=sharing"",""จัดที่ดิน!AX63"")"),0)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IFERROR(__xludf.DUMMYFUNCTION("IMPORTRANGE(""https://docs.google.com/spreadsheets/d/1QqKyyYR6Q21VydFLVH3TRQUabQu_ym0Zz7PgGX0-kHA/edit?usp=sharing"",""แผน!HS63"")"),0)</f>
        <v>0</v>
      </c>
      <c r="J651" s="264">
        <f ca="1">IFERROR(__xludf.DUMMYFUNCTION("IMPORTRANGE(""https://docs.google.com/spreadsheets/d/1XWAQStnk-4SwqDmLtmXYiTMKHgktTP8We1SCoS47DrQ/edit?usp=sharing"",""จัดที่ดิน!AY63"")"),0)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IFERROR(__xludf.DUMMYFUNCTION("IMPORTRANGE(""https://docs.google.com/spreadsheets/d/1XWAQStnk-4SwqDmLtmXYiTMKHgktTP8We1SCoS47DrQ/edit?usp=sharing"",""จัดที่ดิน!AZ63"")"),0)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50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9400</v>
      </c>
      <c r="M655" s="191">
        <f t="shared" si="272"/>
        <v>0</v>
      </c>
      <c r="N655" s="191">
        <f t="shared" si="272"/>
        <v>3000</v>
      </c>
      <c r="O655" s="191">
        <f t="shared" ref="O655:O660" ca="1" si="273">IF(L655&gt;0,N655*100/L655,0)</f>
        <v>31.914893617021278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9400</v>
      </c>
      <c r="M657" s="90">
        <f t="shared" si="275"/>
        <v>0</v>
      </c>
      <c r="N657" s="90">
        <f t="shared" si="275"/>
        <v>3000</v>
      </c>
      <c r="O657" s="90">
        <f t="shared" ca="1" si="273"/>
        <v>31.914893617021278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9400</v>
      </c>
      <c r="M658" s="495">
        <f t="shared" si="276"/>
        <v>0</v>
      </c>
      <c r="N658" s="495">
        <f t="shared" si="276"/>
        <v>3000</v>
      </c>
      <c r="O658" s="495">
        <f t="shared" ca="1" si="273"/>
        <v>31.914893617021278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IFERROR(__xludf.DUMMYFUNCTION("IMPORTRANGE(""https://docs.google.com/spreadsheets/d/1QqKyyYR6Q21VydFLVH3TRQUabQu_ym0Zz7PgGX0-kHA/edit?usp=sharing"",""แผน!HV63"")"),9400)</f>
        <v>9400</v>
      </c>
      <c r="M660" s="90">
        <v>0</v>
      </c>
      <c r="N660" s="90">
        <f>N661+N662+N663+N664</f>
        <v>3000</v>
      </c>
      <c r="O660" s="90">
        <f t="shared" ca="1" si="273"/>
        <v>31.914893617021278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3000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IFERROR(__xludf.DUMMYFUNCTION("IMPORTRANGE(""https://docs.google.com/spreadsheets/d/1QqKyyYR6Q21VydFLVH3TRQUabQu_ym0Zz7PgGX0-kHA/edit?usp=sharing"",""แผน!IA63"")"),50)</f>
        <v>50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IFERROR(__xludf.DUMMYFUNCTION("IMPORTRANGE(""https://docs.google.com/spreadsheets/d/1QqKyyYR6Q21VydFLVH3TRQUabQu_ym0Zz7PgGX0-kHA/edit?usp=sharing"",""แผน!HZ63"")"),4)</f>
        <v>4</v>
      </c>
      <c r="J670" s="210">
        <v>4</v>
      </c>
      <c r="K670" s="495">
        <f ca="1">IF(I670&gt;0,(J670*100)/I670,0)</f>
        <v>100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IFERROR(__xludf.DUMMYFUNCTION("IMPORTRANGE(""https://docs.google.com/spreadsheets/d/1QqKyyYR6Q21VydFLVH3TRQUabQu_ym0Zz7PgGX0-kHA/edit?usp=sharing"",""แผน!HZ63"")"),4)</f>
        <v>4</v>
      </c>
      <c r="J671" s="210">
        <v>4</v>
      </c>
      <c r="K671" s="495">
        <f ca="1">IF(I$671&gt;0,J671*100/I$671,0)</f>
        <v>100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IFERROR(__xludf.DUMMYFUNCTION("IMPORTRANGE(""https://docs.google.com/spreadsheets/d/1QqKyyYR6Q21VydFLVH3TRQUabQu_ym0Zz7PgGX0-kHA/edit?usp=sharing"",""แผน!IB63"")"),0)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6280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6280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6280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IFERROR(__xludf.DUMMYFUNCTION("IMPORTRANGE(""https://docs.google.com/spreadsheets/d/1QqKyyYR6Q21VydFLVH3TRQUabQu_ym0Zz7PgGX0-kHA/edit?usp=sharing"",""แผน!HW63"")"),6280)</f>
        <v>6280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IFERROR(__xludf.DUMMYFUNCTION("IMPORTRANGE(""https://docs.google.com/spreadsheets/d/1QqKyyYR6Q21VydFLVH3TRQUabQu_ym0Zz7PgGX0-kHA/edit?usp=sharing"",""แผน!IC63"")"),0)</f>
        <v>0</v>
      </c>
      <c r="J699" s="264">
        <f ca="1">IFERROR(__xludf.DUMMYFUNCTION("IMPORTRANGE(""https://docs.google.com/spreadsheets/d/1XWAQStnk-4SwqDmLtmXYiTMKHgktTP8We1SCoS47DrQ/edit?usp=sharing"",""จัดที่ดิน!BB63"")"),0)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IFERROR(__xludf.DUMMYFUNCTION("IMPORTRANGE(""https://docs.google.com/spreadsheets/d/1QqKyyYR6Q21VydFLVH3TRQUabQu_ym0Zz7PgGX0-kHA/edit?usp=sharing"",""แผน!ID63"")"),31)</f>
        <v>31</v>
      </c>
      <c r="J700" s="264">
        <f ca="1">IFERROR(__xludf.DUMMYFUNCTION("IMPORTRANGE(""https://docs.google.com/spreadsheets/d/1XWAQStnk-4SwqDmLtmXYiTMKHgktTP8We1SCoS47DrQ/edit?usp=sharing"",""จัดที่ดิน!BD63"")"),0)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IFERROR(__xludf.DUMMYFUNCTION("IMPORTRANGE(""https://docs.google.com/spreadsheets/d/1QqKyyYR6Q21VydFLVH3TRQUabQu_ym0Zz7PgGX0-kHA/edit?usp=sharing"",""แผน!IE63"")"),0)</f>
        <v>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IFERROR(__xludf.DUMMYFUNCTION("IMPORTRANGE(""https://docs.google.com/spreadsheets/d/1QqKyyYR6Q21VydFLVH3TRQUabQu_ym0Zz7PgGX0-kHA/edit?usp=sharing"",""แผน!IF63"")"),0)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IFERROR(__xludf.DUMMYFUNCTION("IMPORTRANGE(""https://docs.google.com/spreadsheets/d/1QqKyyYR6Q21VydFLVH3TRQUabQu_ym0Zz7PgGX0-kHA/edit?usp=sharing"",""แผน!IG63"")"),0)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IFERROR(__xludf.DUMMYFUNCTION("IMPORTRANGE(""https://docs.google.com/spreadsheets/d/1QqKyyYR6Q21VydFLVH3TRQUabQu_ym0Zz7PgGX0-kHA/edit?usp=sharing"",""แผน!IH63"")"),0)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IFERROR(__xludf.DUMMYFUNCTION("IMPORTRANGE(""https://docs.google.com/spreadsheets/d/1XWAQStnk-4SwqDmLtmXYiTMKHgktTP8We1SCoS47DrQ/edit?usp=sharing"",""จัดที่ดิน!BF63"")"),0)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IFERROR(__xludf.DUMMYFUNCTION("IMPORTRANGE(""https://docs.google.com/spreadsheets/d/1XWAQStnk-4SwqDmLtmXYiTMKHgktTP8We1SCoS47DrQ/edit?usp=sharing"",""จัดที่ดิน!BG63"")"),0)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IFERROR(__xludf.DUMMYFUNCTION("IMPORTRANGE(""https://docs.google.com/spreadsheets/d/1QqKyyYR6Q21VydFLVH3TRQUabQu_ym0Zz7PgGX0-kHA/edit?usp=sharing"",""แผน!II63"")"),0)</f>
        <v>0</v>
      </c>
      <c r="J720" s="264">
        <f ca="1">IFERROR(__xludf.DUMMYFUNCTION("IMPORTRANGE(""https://docs.google.com/spreadsheets/d/1XWAQStnk-4SwqDmLtmXYiTMKHgktTP8We1SCoS47DrQ/edit?usp=sharing"",""จัดที่ดิน!BH63"")"),0)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IFERROR(__xludf.DUMMYFUNCTION("IMPORTRANGE(""https://docs.google.com/spreadsheets/d/1QqKyyYR6Q21VydFLVH3TRQUabQu_ym0Zz7PgGX0-kHA/edit?usp=sharing"",""แผน!IJ63"")"),8)</f>
        <v>8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IFERROR(__xludf.DUMMYFUNCTION("IMPORTRANGE(""https://docs.google.com/spreadsheets/d/1QqKyyYR6Q21VydFLVH3TRQUabQu_ym0Zz7PgGX0-kHA/edit?usp=sharing"",""แผน!IK63"")"),16)</f>
        <v>16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IFERROR(__xludf.DUMMYFUNCTION("IMPORTRANGE(""https://docs.google.com/spreadsheets/d/1QqKyyYR6Q21VydFLVH3TRQUabQu_ym0Zz7PgGX0-kHA/edit?usp=sharing"",""แผน!IL63"")"),5)</f>
        <v>5</v>
      </c>
      <c r="J723" s="264">
        <f ca="1">IFERROR(__xludf.DUMMYFUNCTION("IMPORTRANGE(""https://docs.google.com/spreadsheets/d/1XWAQStnk-4SwqDmLtmXYiTMKHgktTP8We1SCoS47DrQ/edit?usp=sharing"",""จัดที่ดิน!BM63"")"),0)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IFERROR(__xludf.DUMMYFUNCTION("IMPORTRANGE(""https://docs.google.com/spreadsheets/d/1XWAQStnk-4SwqDmLtmXYiTMKHgktTP8We1SCoS47DrQ/edit?usp=sharing"",""จัดที่ดิน!BN63"")"),0)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IFERROR(__xludf.DUMMYFUNCTION("IMPORTRANGE(""https://docs.google.com/spreadsheets/d/1QqKyyYR6Q21VydFLVH3TRQUabQu_ym0Zz7PgGX0-kHA/edit?usp=sharing"",""แผน!IM63"")"),10)</f>
        <v>10</v>
      </c>
      <c r="J725" s="264">
        <f ca="1">IFERROR(__xludf.DUMMYFUNCTION("IMPORTRANGE(""https://docs.google.com/spreadsheets/d/1XWAQStnk-4SwqDmLtmXYiTMKHgktTP8We1SCoS47DrQ/edit?usp=sharing"",""จัดที่ดิน!BO63"")"),0)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IFERROR(__xludf.DUMMYFUNCTION("IMPORTRANGE(""https://docs.google.com/spreadsheets/d/1QqKyyYR6Q21VydFLVH3TRQUabQu_ym0Zz7PgGX0-kHA/edit?usp=sharing"",""แผน!IN63"")"),3)</f>
        <v>3</v>
      </c>
      <c r="J726" s="264">
        <f ca="1">IFERROR(__xludf.DUMMYFUNCTION("IMPORTRANGE(""https://docs.google.com/spreadsheets/d/1XWAQStnk-4SwqDmLtmXYiTMKHgktTP8We1SCoS47DrQ/edit?usp=sharing"",""จัดที่ดิน!BR63"")"),0)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IFERROR(__xludf.DUMMYFUNCTION("IMPORTRANGE(""https://docs.google.com/spreadsheets/d/1XWAQStnk-4SwqDmLtmXYiTMKHgktTP8We1SCoS47DrQ/edit?usp=sharing"",""จัดที่ดิน!BS63"")"),0)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IFERROR(__xludf.DUMMYFUNCTION("IMPORTRANGE(""https://docs.google.com/spreadsheets/d/1QqKyyYR6Q21VydFLVH3TRQUabQu_ym0Zz7PgGX0-kHA/edit?usp=sharing"",""แผน!IO63"")"),6)</f>
        <v>6</v>
      </c>
      <c r="J728" s="264">
        <f ca="1">IFERROR(__xludf.DUMMYFUNCTION("IMPORTRANGE(""https://docs.google.com/spreadsheets/d/1XWAQStnk-4SwqDmLtmXYiTMKHgktTP8We1SCoS47DrQ/edit?usp=sharing"",""จัดที่ดิน!BT63"")"),0)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IFERROR(__xludf.DUMMYFUNCTION("IMPORTRANGE(""https://docs.google.com/spreadsheets/d/1QqKyyYR6Q21VydFLVH3TRQUabQu_ym0Zz7PgGX0-kHA/edit?usp=sharing"",""แผน!IP63"")"),0)</f>
        <v>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IFERROR(__xludf.DUMMYFUNCTION("IMPORTRANGE(""https://docs.google.com/spreadsheets/d/1QqKyyYR6Q21VydFLVH3TRQUabQu_ym0Zz7PgGX0-kHA/edit?usp=sharing"",""แผน!JJ63"")"),0)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IFERROR(__xludf.DUMMYFUNCTION("IMPORTRANGE(""https://docs.google.com/spreadsheets/d/1QqKyyYR6Q21VydFLVH3TRQUabQu_ym0Zz7PgGX0-kHA/edit?usp=sharing"",""แผน!JN63"")"),0)</f>
        <v>0</v>
      </c>
      <c r="J800" s="180">
        <f ca="1">IFERROR(__xludf.DUMMYFUNCTION("IMPORTRANGE(""https://docs.google.com/spreadsheets/d/1MaWodYyGHDf7siQLGxnXhG4mBNTNIuy296niS2xXulU/edit?usp=sharing"",""RTK!H63"")"),0)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IFERROR(__xludf.DUMMYFUNCTION("IMPORTRANGE(""https://docs.google.com/spreadsheets/d/1MaWodYyGHDf7siQLGxnXhG4mBNTNIuy296niS2xXulU/edit?usp=sharing"",""RTK!I63"")"),0)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IFERROR(__xludf.DUMMYFUNCTION("IMPORTRANGE(""https://docs.google.com/spreadsheets/d/19vJNZY_5yjcGF2XGBMNZRCAIB0Kwfpjp8YEOfu-bneM/edit?usp=sharing"",""งานกองทุน!D63"")"),8410909.31)</f>
        <v>8410909.3100000005</v>
      </c>
      <c r="J821" s="264">
        <f ca="1">IFERROR(__xludf.DUMMYFUNCTION("IMPORTRANGE(""https://docs.google.com/spreadsheets/d/19vJNZY_5yjcGF2XGBMNZRCAIB0Kwfpjp8YEOfu-bneM/edit?usp=sharing"",""งานกองทุน!F63"")"),50000)</f>
        <v>50000</v>
      </c>
      <c r="K821" s="495">
        <f t="shared" ref="K821:K828" ca="1" si="334">IF(I821&gt;0,J821*100/I821,0)</f>
        <v>0.59446604590722896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IFERROR(__xludf.DUMMYFUNCTION("IMPORTRANGE(""https://docs.google.com/spreadsheets/d/19vJNZY_5yjcGF2XGBMNZRCAIB0Kwfpjp8YEOfu-bneM/edit?usp=sharing"",""งานกองทุน!C63"")"),187)</f>
        <v>187</v>
      </c>
      <c r="J822" s="264">
        <f ca="1">IFERROR(__xludf.DUMMYFUNCTION("IMPORTRANGE(""https://docs.google.com/spreadsheets/d/19vJNZY_5yjcGF2XGBMNZRCAIB0Kwfpjp8YEOfu-bneM/edit?usp=sharing"",""งานกองทุน!E63"")"),1)</f>
        <v>1</v>
      </c>
      <c r="K822" s="495">
        <f t="shared" ca="1" si="334"/>
        <v>0.53475935828877008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264">
        <f ca="1">IFERROR(__xludf.DUMMYFUNCTION("IMPORTRANGE(""https://docs.google.com/spreadsheets/d/19vJNZY_5yjcGF2XGBMNZRCAIB0Kwfpjp8YEOfu-bneM/edit?usp=sharing"",""งานกองทุน!K63"")"),43599.32)</f>
        <v>43599.32</v>
      </c>
      <c r="K823" s="495">
        <f t="shared" ca="1" si="334"/>
        <v>0.69043566739363282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IFERROR(__xludf.DUMMYFUNCTION("IMPORTRANGE(""https://docs.google.com/spreadsheets/d/19vJNZY_5yjcGF2XGBMNZRCAIB0Kwfpjp8YEOfu-bneM/edit?usp=sharing"",""งานกองทุน!H63"")"),147)</f>
        <v>147</v>
      </c>
      <c r="J824" s="264">
        <f ca="1">IFERROR(__xludf.DUMMYFUNCTION("IMPORTRANGE(""https://docs.google.com/spreadsheets/d/19vJNZY_5yjcGF2XGBMNZRCAIB0Kwfpjp8YEOfu-bneM/edit?usp=sharing"",""งานกองทุน!J63"")"),7)</f>
        <v>7</v>
      </c>
      <c r="K824" s="495">
        <f t="shared" ca="1" si="334"/>
        <v>4.7619047619047619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264">
        <f ca="1">IFERROR(__xludf.DUMMYFUNCTION("IMPORTRANGE(""https://docs.google.com/spreadsheets/d/19vJNZY_5yjcGF2XGBMNZRCAIB0Kwfpjp8YEOfu-bneM/edit?usp=sharing"",""งานกองทุน!P63"")"),3150)</f>
        <v>3150</v>
      </c>
      <c r="K825" s="495">
        <f t="shared" ca="1" si="334"/>
        <v>0.45406755008703825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IFERROR(__xludf.DUMMYFUNCTION("IMPORTRANGE(""https://docs.google.com/spreadsheets/d/19vJNZY_5yjcGF2XGBMNZRCAIB0Kwfpjp8YEOfu-bneM/edit?usp=sharing"",""งานกองทุน!M63"")"),445)</f>
        <v>445</v>
      </c>
      <c r="J826" s="264">
        <f ca="1">IFERROR(__xludf.DUMMYFUNCTION("IMPORTRANGE(""https://docs.google.com/spreadsheets/d/19vJNZY_5yjcGF2XGBMNZRCAIB0Kwfpjp8YEOfu-bneM/edit?usp=sharing"",""งานกองทุน!O63"")"),2)</f>
        <v>2</v>
      </c>
      <c r="K826" s="495">
        <f t="shared" ca="1" si="334"/>
        <v>0.449438202247191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IFERROR(__xludf.DUMMYFUNCTION("IMPORTRANGE(""https://docs.google.com/spreadsheets/d/19vJNZY_5yjcGF2XGBMNZRCAIB0Kwfpjp8YEOfu-bneM/edit?usp=sharing"",""งานกองทุน!S63"")"),4980000)</f>
        <v>4980000</v>
      </c>
      <c r="J827" s="264">
        <f ca="1">IFERROR(__xludf.DUMMYFUNCTION("IMPORTRANGE(""https://docs.google.com/spreadsheets/d/19vJNZY_5yjcGF2XGBMNZRCAIB0Kwfpjp8YEOfu-bneM/edit?usp=sharing"",""งานกองทุน!U63"")"),0)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IFERROR(__xludf.DUMMYFUNCTION("IMPORTRANGE(""https://docs.google.com/spreadsheets/d/19vJNZY_5yjcGF2XGBMNZRCAIB0Kwfpjp8YEOfu-bneM/edit?usp=sharing"",""งานกองทุน!R63"")"),199)</f>
        <v>199</v>
      </c>
      <c r="J828" s="498">
        <f ca="1">IFERROR(__xludf.DUMMYFUNCTION("IMPORTRANGE(""https://docs.google.com/spreadsheets/d/19vJNZY_5yjcGF2XGBMNZRCAIB0Kwfpjp8YEOfu-bneM/edit?usp=sharing"",""งานกองทุน!T63"")"),48)</f>
        <v>48</v>
      </c>
      <c r="K828" s="499">
        <f t="shared" ca="1" si="334"/>
        <v>24.120603015075378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6701-C49E-463A-90B2-819708A11A1A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349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3306120</v>
      </c>
      <c r="M8" s="21">
        <f t="shared" ca="1" si="0"/>
        <v>1436210</v>
      </c>
      <c r="N8" s="21">
        <f t="shared" ca="1" si="0"/>
        <v>537330.33000000007</v>
      </c>
      <c r="O8" s="21">
        <f t="shared" ref="O8:O16" ca="1" si="1">IF(L8&gt;0,N8*100/L8,0)</f>
        <v>16.252596094515628</v>
      </c>
      <c r="P8" s="21">
        <f t="shared" ref="P8:P16" ca="1" si="2">IF(M8&gt;0,N8*100/M8,0)</f>
        <v>37.413075385911533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3306120</v>
      </c>
      <c r="M10" s="29">
        <f t="shared" ca="1" si="3"/>
        <v>1436210</v>
      </c>
      <c r="N10" s="29">
        <f t="shared" ca="1" si="3"/>
        <v>537330.33000000007</v>
      </c>
      <c r="O10" s="29">
        <f t="shared" ca="1" si="1"/>
        <v>16.252596094515628</v>
      </c>
      <c r="P10" s="29">
        <f t="shared" ca="1" si="2"/>
        <v>37.413075385911533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3230120</v>
      </c>
      <c r="M11" s="495">
        <f t="shared" ca="1" si="4"/>
        <v>1360210</v>
      </c>
      <c r="N11" s="495">
        <f t="shared" ca="1" si="4"/>
        <v>461330.33</v>
      </c>
      <c r="O11" s="495">
        <f t="shared" ca="1" si="1"/>
        <v>14.282142149517664</v>
      </c>
      <c r="P11" s="495">
        <f t="shared" ca="1" si="2"/>
        <v>33.916110747605153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3230120</v>
      </c>
      <c r="M13" s="90">
        <f t="shared" ca="1" si="5"/>
        <v>1360210</v>
      </c>
      <c r="N13" s="90">
        <f t="shared" ca="1" si="5"/>
        <v>461330.33</v>
      </c>
      <c r="O13" s="90">
        <f t="shared" ca="1" si="1"/>
        <v>14.282142149517664</v>
      </c>
      <c r="P13" s="90">
        <f t="shared" ca="1" si="2"/>
        <v>33.916110747605153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76000</v>
      </c>
      <c r="M14" s="495">
        <f t="shared" ca="1" si="6"/>
        <v>76000</v>
      </c>
      <c r="N14" s="495">
        <f t="shared" ca="1" si="6"/>
        <v>76000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76000</v>
      </c>
      <c r="M16" s="51">
        <f t="shared" ca="1" si="7"/>
        <v>76000</v>
      </c>
      <c r="N16" s="51">
        <f t="shared" ca="1" si="7"/>
        <v>76000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2837820</v>
      </c>
      <c r="M18" s="21">
        <f t="shared" ca="1" si="8"/>
        <v>1436210</v>
      </c>
      <c r="N18" s="21">
        <f t="shared" ca="1" si="8"/>
        <v>537330.33000000007</v>
      </c>
      <c r="O18" s="21">
        <f t="shared" ref="O18:O26" ca="1" si="9">IF(L18&gt;0,N18*100/L18,0)</f>
        <v>18.934616360445698</v>
      </c>
      <c r="P18" s="21">
        <f t="shared" ref="P18:P26" ca="1" si="10">IF(M18&gt;0,N18*100/M18,0)</f>
        <v>37.413075385911533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2837820</v>
      </c>
      <c r="M20" s="29">
        <f t="shared" ca="1" si="11"/>
        <v>1436210</v>
      </c>
      <c r="N20" s="29">
        <f t="shared" ca="1" si="11"/>
        <v>537330.33000000007</v>
      </c>
      <c r="O20" s="29">
        <f t="shared" ca="1" si="9"/>
        <v>18.934616360445698</v>
      </c>
      <c r="P20" s="29">
        <f t="shared" ca="1" si="10"/>
        <v>37.413075385911533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2761820</v>
      </c>
      <c r="M21" s="495">
        <f t="shared" ca="1" si="12"/>
        <v>1360210</v>
      </c>
      <c r="N21" s="495">
        <f t="shared" ca="1" si="12"/>
        <v>461330.33</v>
      </c>
      <c r="O21" s="495">
        <f t="shared" ca="1" si="9"/>
        <v>16.703852169945904</v>
      </c>
      <c r="P21" s="495">
        <f t="shared" ca="1" si="10"/>
        <v>33.916110747605153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2761820</v>
      </c>
      <c r="M23" s="90">
        <f t="shared" ca="1" si="13"/>
        <v>1360210</v>
      </c>
      <c r="N23" s="90">
        <f t="shared" ca="1" si="13"/>
        <v>461330.33</v>
      </c>
      <c r="O23" s="90">
        <f t="shared" ca="1" si="9"/>
        <v>16.703852169945904</v>
      </c>
      <c r="P23" s="90">
        <f t="shared" ca="1" si="10"/>
        <v>33.916110747605153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76000</v>
      </c>
      <c r="M24" s="495">
        <f t="shared" ca="1" si="14"/>
        <v>76000</v>
      </c>
      <c r="N24" s="495">
        <f t="shared" ca="1" si="14"/>
        <v>76000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76000</v>
      </c>
      <c r="M26" s="51">
        <f t="shared" ca="1" si="15"/>
        <v>76000</v>
      </c>
      <c r="N26" s="51">
        <f t="shared" ca="1" si="15"/>
        <v>76000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468300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468300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468300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468300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2837820</v>
      </c>
      <c r="M37" s="57">
        <f t="shared" ca="1" si="24"/>
        <v>1436210</v>
      </c>
      <c r="N37" s="57">
        <f t="shared" ca="1" si="24"/>
        <v>537330.33000000007</v>
      </c>
      <c r="O37" s="57">
        <f t="shared" ca="1" si="17"/>
        <v>18.934616360445698</v>
      </c>
      <c r="P37" s="57">
        <f t="shared" ca="1" si="18"/>
        <v>37.413075385911533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312700</v>
      </c>
      <c r="M41" s="82">
        <f t="shared" ca="1" si="25"/>
        <v>157700</v>
      </c>
      <c r="N41" s="82">
        <f t="shared" ca="1" si="25"/>
        <v>77167.740000000005</v>
      </c>
      <c r="O41" s="82">
        <f t="shared" ref="O41:O49" ca="1" si="26">IF(L41&gt;0,N41*100/L41,0)</f>
        <v>24.67788295490886</v>
      </c>
      <c r="P41" s="82">
        <f t="shared" ref="P41:P49" ca="1" si="27">IF(M41&gt;0,N41*100/M41,0)</f>
        <v>48.933253012048198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312700</v>
      </c>
      <c r="M43" s="89">
        <f t="shared" ca="1" si="28"/>
        <v>157700</v>
      </c>
      <c r="N43" s="89">
        <f t="shared" ca="1" si="28"/>
        <v>77167.740000000005</v>
      </c>
      <c r="O43" s="89">
        <f t="shared" ca="1" si="26"/>
        <v>24.67788295490886</v>
      </c>
      <c r="P43" s="89">
        <f t="shared" ca="1" si="27"/>
        <v>48.933253012048198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312700</v>
      </c>
      <c r="M44" s="495">
        <f t="shared" ca="1" si="29"/>
        <v>157700</v>
      </c>
      <c r="N44" s="495">
        <f t="shared" ca="1" si="29"/>
        <v>77167.740000000005</v>
      </c>
      <c r="O44" s="495">
        <f t="shared" ca="1" si="26"/>
        <v>24.67788295490886</v>
      </c>
      <c r="P44" s="495">
        <f t="shared" ca="1" si="27"/>
        <v>48.933253012048198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IFERROR(__xludf.DUMMYFUNCTION("IMPORTRANGE(""https://docs.google.com/spreadsheets/d/1MeEWN-I1oV_STSDYn1IFDPWt_1FKiwhDph83XaGc0o0/edit?usp=sharing"",""งบพรบ!M64"")"),312700)</f>
        <v>312700</v>
      </c>
      <c r="M46" s="90">
        <f ca="1">IFERROR(__xludf.DUMMYFUNCTION("IMPORTRANGE(""https://docs.google.com/spreadsheets/d/1MeEWN-I1oV_STSDYn1IFDPWt_1FKiwhDph83XaGc0o0/edit?usp=sharing"",""งบพรบ!R64"")"),157700)</f>
        <v>157700</v>
      </c>
      <c r="N46" s="90">
        <f ca="1">IFERROR(__xludf.DUMMYFUNCTION("IMPORTRANGE(""https://docs.google.com/spreadsheets/d/1MeEWN-I1oV_STSDYn1IFDPWt_1FKiwhDph83XaGc0o0/edit?usp=sharing"",""งบพรบ!T64"")"),77167.74)</f>
        <v>77167.740000000005</v>
      </c>
      <c r="O46" s="90">
        <f t="shared" ca="1" si="26"/>
        <v>24.67788295490886</v>
      </c>
      <c r="P46" s="90">
        <f t="shared" ca="1" si="27"/>
        <v>48.933253012048198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IFERROR(__xludf.DUMMYFUNCTION("IMPORTRANGE(""https://docs.google.com/spreadsheets/d/1MeEWN-I1oV_STSDYn1IFDPWt_1FKiwhDph83XaGc0o0/edit?usp=sharing"",""งบพรบ!P64"")"),0)</f>
        <v>0</v>
      </c>
      <c r="M49" s="51">
        <f ca="1">IFERROR(__xludf.DUMMYFUNCTION("IMPORTRANGE(""https://docs.google.com/spreadsheets/d/1MeEWN-I1oV_STSDYn1IFDPWt_1FKiwhDph83XaGc0o0/edit?usp=sharing"",""งบพรบ!S64"")"),0)</f>
        <v>0</v>
      </c>
      <c r="N49" s="51">
        <f ca="1">IFERROR(__xludf.DUMMYFUNCTION("IMPORTRANGE(""https://docs.google.com/spreadsheets/d/1MeEWN-I1oV_STSDYn1IFDPWt_1FKiwhDph83XaGc0o0/edit?usp=sharing"",""งบพรบ!U64"")"),0)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356900</v>
      </c>
      <c r="M53" s="112">
        <f t="shared" ca="1" si="31"/>
        <v>178450</v>
      </c>
      <c r="N53" s="112">
        <f t="shared" ca="1" si="31"/>
        <v>91138.55</v>
      </c>
      <c r="O53" s="112">
        <f t="shared" ref="O53:O61" ca="1" si="32">IF(L53&gt;0,N53*100/L53,0)</f>
        <v>25.536158587839729</v>
      </c>
      <c r="P53" s="112">
        <f t="shared" ref="P53:P61" ca="1" si="33">IF(M53&gt;0,N53*100/M53,0)</f>
        <v>51.072317175679459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356900</v>
      </c>
      <c r="M55" s="119">
        <f t="shared" ca="1" si="34"/>
        <v>178450</v>
      </c>
      <c r="N55" s="119">
        <f t="shared" ca="1" si="34"/>
        <v>91138.55</v>
      </c>
      <c r="O55" s="119">
        <f t="shared" ca="1" si="32"/>
        <v>25.536158587839729</v>
      </c>
      <c r="P55" s="119">
        <f t="shared" ca="1" si="33"/>
        <v>51.072317175679459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356900</v>
      </c>
      <c r="M56" s="495">
        <f t="shared" ca="1" si="35"/>
        <v>178450</v>
      </c>
      <c r="N56" s="495">
        <f t="shared" ca="1" si="35"/>
        <v>91138.55</v>
      </c>
      <c r="O56" s="495">
        <f t="shared" ca="1" si="32"/>
        <v>25.536158587839729</v>
      </c>
      <c r="P56" s="495">
        <f t="shared" ca="1" si="33"/>
        <v>51.072317175679459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IFERROR(__xludf.DUMMYFUNCTION("IMPORTRANGE(""https://docs.google.com/spreadsheets/d/1MeEWN-I1oV_STSDYn1IFDPWt_1FKiwhDph83XaGc0o0/edit?usp=sharing"",""งบพรบ!W64"")"),356900)</f>
        <v>356900</v>
      </c>
      <c r="M58" s="90">
        <f ca="1">IFERROR(__xludf.DUMMYFUNCTION("IMPORTRANGE(""https://docs.google.com/spreadsheets/d/1MeEWN-I1oV_STSDYn1IFDPWt_1FKiwhDph83XaGc0o0/edit?usp=sharing"",""งบพรบ!AB64"")"),178450)</f>
        <v>178450</v>
      </c>
      <c r="N58" s="90">
        <f ca="1">IFERROR(__xludf.DUMMYFUNCTION("IMPORTRANGE(""https://docs.google.com/spreadsheets/d/1MeEWN-I1oV_STSDYn1IFDPWt_1FKiwhDph83XaGc0o0/edit?usp=sharing"",""งบพรบ!AD64"")"),91138.55)</f>
        <v>91138.55</v>
      </c>
      <c r="O58" s="90">
        <f t="shared" ca="1" si="32"/>
        <v>25.536158587839729</v>
      </c>
      <c r="P58" s="90">
        <f t="shared" ca="1" si="33"/>
        <v>51.072317175679459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IFERROR(__xludf.DUMMYFUNCTION("IMPORTRANGE(""https://docs.google.com/spreadsheets/d/1MeEWN-I1oV_STSDYn1IFDPWt_1FKiwhDph83XaGc0o0/edit?usp=sharing"",""งบพรบ!Z64"")"),0)</f>
        <v>0</v>
      </c>
      <c r="M61" s="51">
        <f ca="1">IFERROR(__xludf.DUMMYFUNCTION("IMPORTRANGE(""https://docs.google.com/spreadsheets/d/1MeEWN-I1oV_STSDYn1IFDPWt_1FKiwhDph83XaGc0o0/edit?usp=sharing"",""งบพรบ!AC64"")"),0)</f>
        <v>0</v>
      </c>
      <c r="N61" s="51">
        <f ca="1">IFERROR(__xludf.DUMMYFUNCTION("IMPORTRANGE(""https://docs.google.com/spreadsheets/d/1MeEWN-I1oV_STSDYn1IFDPWt_1FKiwhDph83XaGc0o0/edit?usp=sharing"",""งบพรบ!AE64"")"),0)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1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42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609800</v>
      </c>
      <c r="M66" s="151">
        <f t="shared" ca="1" si="39"/>
        <v>297300</v>
      </c>
      <c r="N66" s="151">
        <f t="shared" ca="1" si="39"/>
        <v>70253.600000000006</v>
      </c>
      <c r="O66" s="151">
        <f t="shared" ref="O66:O74" ca="1" si="40">IF(L66&gt;0,N66*100/L66,0)</f>
        <v>11.520760905214827</v>
      </c>
      <c r="P66" s="151">
        <f t="shared" ref="P66:P74" ca="1" si="41">IF(M66&gt;0,N66*100/M66,0)</f>
        <v>23.630541540531453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609800</v>
      </c>
      <c r="M68" s="90">
        <f t="shared" ca="1" si="42"/>
        <v>297300</v>
      </c>
      <c r="N68" s="90">
        <f t="shared" ca="1" si="42"/>
        <v>70253.600000000006</v>
      </c>
      <c r="O68" s="90">
        <f t="shared" ca="1" si="40"/>
        <v>11.520760905214827</v>
      </c>
      <c r="P68" s="90">
        <f t="shared" ca="1" si="41"/>
        <v>23.630541540531453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609800</v>
      </c>
      <c r="M69" s="495">
        <f t="shared" ca="1" si="43"/>
        <v>297300</v>
      </c>
      <c r="N69" s="495">
        <f t="shared" ca="1" si="43"/>
        <v>70253.600000000006</v>
      </c>
      <c r="O69" s="495">
        <f t="shared" ca="1" si="40"/>
        <v>11.520760905214827</v>
      </c>
      <c r="P69" s="495">
        <f t="shared" ca="1" si="41"/>
        <v>23.630541540531453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IFERROR(__xludf.DUMMYFUNCTION("IMPORTRANGE(""https://docs.google.com/spreadsheets/d/1MeEWN-I1oV_STSDYn1IFDPWt_1FKiwhDph83XaGc0o0/edit?usp=sharing"",""งบพรบ!AG64"")"),609800)</f>
        <v>609800</v>
      </c>
      <c r="M71" s="90">
        <f ca="1">IFERROR(__xludf.DUMMYFUNCTION("IMPORTRANGE(""https://docs.google.com/spreadsheets/d/1MeEWN-I1oV_STSDYn1IFDPWt_1FKiwhDph83XaGc0o0/edit?usp=sharing"",""งบพรบ!AL64"")"),297300)</f>
        <v>297300</v>
      </c>
      <c r="N71" s="90">
        <f ca="1">IFERROR(__xludf.DUMMYFUNCTION("IMPORTRANGE(""https://docs.google.com/spreadsheets/d/1MeEWN-I1oV_STSDYn1IFDPWt_1FKiwhDph83XaGc0o0/edit?usp=sharing"",""งบพรบ!AN64"")"),70253.6)</f>
        <v>70253.600000000006</v>
      </c>
      <c r="O71" s="90">
        <f t="shared" ca="1" si="40"/>
        <v>11.520760905214827</v>
      </c>
      <c r="P71" s="90">
        <f t="shared" ca="1" si="41"/>
        <v>23.630541540531453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IFERROR(__xludf.DUMMYFUNCTION("IMPORTRANGE(""https://docs.google.com/spreadsheets/d/1MeEWN-I1oV_STSDYn1IFDPWt_1FKiwhDph83XaGc0o0/edit?usp=sharing"",""งบพรบ!AJ64"")"),0)</f>
        <v>0</v>
      </c>
      <c r="M74" s="90">
        <f ca="1">IFERROR(__xludf.DUMMYFUNCTION("IMPORTRANGE(""https://docs.google.com/spreadsheets/d/1MeEWN-I1oV_STSDYn1IFDPWt_1FKiwhDph83XaGc0o0/edit?usp=sharing"",""งบพรบ!AM64"")"),0)</f>
        <v>0</v>
      </c>
      <c r="N74" s="90">
        <f ca="1">IFERROR(__xludf.DUMMYFUNCTION("IMPORTRANGE(""https://docs.google.com/spreadsheets/d/1MeEWN-I1oV_STSDYn1IFDPWt_1FKiwhDph83XaGc0o0/edit?usp=sharing"",""งบพรบ!AO64"")"),0)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1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42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IFERROR(__xludf.DUMMYFUNCTION("IMPORTRANGE(""https://docs.google.com/spreadsheets/d/1QqKyyYR6Q21VydFLVH3TRQUabQu_ym0Zz7PgGX0-kHA/edit?usp=sharing"",""แผน!H64"")"),1)</f>
        <v>1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IFERROR(__xludf.DUMMYFUNCTION("IMPORTRANGE(""https://docs.google.com/spreadsheets/d/1QqKyyYR6Q21VydFLVH3TRQUabQu_ym0Zz7PgGX0-kHA/edit?usp=sharing"",""แผน!I64"")"),42)</f>
        <v>42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IFERROR(__xludf.DUMMYFUNCTION("IMPORTRANGE(""https://docs.google.com/spreadsheets/d/1QqKyyYR6Q21VydFLVH3TRQUabQu_ym0Zz7PgGX0-kHA/edit?usp=sharing"",""แผน!F64"")"),0)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IFERROR(__xludf.DUMMYFUNCTION("IMPORTRANGE(""https://docs.google.com/spreadsheets/d/1QqKyyYR6Q21VydFLVH3TRQUabQu_ym0Zz7PgGX0-kHA/edit?usp=sharing"",""แผน!G64"")"),0)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IFERROR(__xludf.DUMMYFUNCTION("IMPORTRANGE(""https://docs.google.com/spreadsheets/d/1QqKyyYR6Q21VydFLVH3TRQUabQu_ym0Zz7PgGX0-kHA/edit?usp=sharing"",""แผน!D64"")"),0)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IFERROR(__xludf.DUMMYFUNCTION("IMPORTRANGE(""https://docs.google.com/spreadsheets/d/1QqKyyYR6Q21VydFLVH3TRQUabQu_ym0Zz7PgGX0-kHA/edit?usp=sharing"",""แผน!E64"")"),0)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IFERROR(__xludf.DUMMYFUNCTION("IMPORTRANGE(""https://docs.google.com/spreadsheets/d/1QqKyyYR6Q21VydFLVH3TRQUabQu_ym0Zz7PgGX0-kHA/edit?usp=sharing"",""แผน!J64"")"),1)</f>
        <v>1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31200</v>
      </c>
      <c r="M88" s="151">
        <f t="shared" ca="1" si="49"/>
        <v>27750</v>
      </c>
      <c r="N88" s="151">
        <f t="shared" ca="1" si="49"/>
        <v>0</v>
      </c>
      <c r="O88" s="151">
        <f t="shared" ref="O88:O96" ca="1" si="50">IF(L88&gt;0,N88*100/L88,0)</f>
        <v>0</v>
      </c>
      <c r="P88" s="151">
        <f t="shared" ref="P88:P96" ca="1" si="51">IF(M88&gt;0,N88*100/M88,0)</f>
        <v>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31200</v>
      </c>
      <c r="M90" s="90">
        <f t="shared" ca="1" si="52"/>
        <v>27750</v>
      </c>
      <c r="N90" s="90">
        <f t="shared" ca="1" si="52"/>
        <v>0</v>
      </c>
      <c r="O90" s="90">
        <f t="shared" ca="1" si="50"/>
        <v>0</v>
      </c>
      <c r="P90" s="90">
        <f t="shared" ca="1" si="51"/>
        <v>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31200</v>
      </c>
      <c r="M91" s="495">
        <f t="shared" ca="1" si="53"/>
        <v>27750</v>
      </c>
      <c r="N91" s="495">
        <f t="shared" ca="1" si="53"/>
        <v>0</v>
      </c>
      <c r="O91" s="495">
        <f t="shared" ca="1" si="50"/>
        <v>0</v>
      </c>
      <c r="P91" s="495">
        <f t="shared" ca="1" si="51"/>
        <v>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IFERROR(__xludf.DUMMYFUNCTION("IMPORTRANGE(""https://docs.google.com/spreadsheets/d/1MeEWN-I1oV_STSDYn1IFDPWt_1FKiwhDph83XaGc0o0/edit?usp=sharing"",""งบพรบ!AQ64"")"),31200)</f>
        <v>31200</v>
      </c>
      <c r="M93" s="90">
        <f ca="1">IFERROR(__xludf.DUMMYFUNCTION("IMPORTRANGE(""https://docs.google.com/spreadsheets/d/1MeEWN-I1oV_STSDYn1IFDPWt_1FKiwhDph83XaGc0o0/edit?usp=sharing"",""งบพรบ!AV64"")"),27750)</f>
        <v>27750</v>
      </c>
      <c r="N93" s="90">
        <f ca="1">IFERROR(__xludf.DUMMYFUNCTION("IMPORTRANGE(""https://docs.google.com/spreadsheets/d/1MeEWN-I1oV_STSDYn1IFDPWt_1FKiwhDph83XaGc0o0/edit?usp=sharing"",""งบพรบ!AX64"")"),0)</f>
        <v>0</v>
      </c>
      <c r="O93" s="90">
        <f t="shared" ca="1" si="50"/>
        <v>0</v>
      </c>
      <c r="P93" s="90">
        <f t="shared" ca="1" si="51"/>
        <v>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IFERROR(__xludf.DUMMYFUNCTION("IMPORTRANGE(""https://docs.google.com/spreadsheets/d/1MeEWN-I1oV_STSDYn1IFDPWt_1FKiwhDph83XaGc0o0/edit?usp=sharing"",""งบพรบ!AT64"")"),0)</f>
        <v>0</v>
      </c>
      <c r="M96" s="90">
        <f ca="1">IFERROR(__xludf.DUMMYFUNCTION("IMPORTRANGE(""https://docs.google.com/spreadsheets/d/1MeEWN-I1oV_STSDYn1IFDPWt_1FKiwhDph83XaGc0o0/edit?usp=sharing"",""งบพรบ!AW64"")"),0)</f>
        <v>0</v>
      </c>
      <c r="N96" s="90">
        <f ca="1">IFERROR(__xludf.DUMMYFUNCTION("IMPORTRANGE(""https://docs.google.com/spreadsheets/d/1MeEWN-I1oV_STSDYn1IFDPWt_1FKiwhDph83XaGc0o0/edit?usp=sharing"",""งบพรบ!AY64"")"),0)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IFERROR(__xludf.DUMMYFUNCTION("IMPORTRANGE(""https://docs.google.com/spreadsheets/d/1QqKyyYR6Q21VydFLVH3TRQUabQu_ym0Zz7PgGX0-kHA/edit?usp=sharing"",""แผน!K64"")"),0)</f>
        <v>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IFERROR(__xludf.DUMMYFUNCTION("IMPORTRANGE(""https://docs.google.com/spreadsheets/d/1QqKyyYR6Q21VydFLVH3TRQUabQu_ym0Zz7PgGX0-kHA/edit?usp=sharing"",""แผน!L64"")"),0)</f>
        <v>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IFERROR(__xludf.DUMMYFUNCTION("IMPORTRANGE(""https://docs.google.com/spreadsheets/d/1QqKyyYR6Q21VydFLVH3TRQUabQu_ym0Zz7PgGX0-kHA/edit?usp=sharing"",""แผน!M64"")"),1)</f>
        <v>1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IFERROR(__xludf.DUMMYFUNCTION("IMPORTRANGE(""https://docs.google.com/spreadsheets/d/1QqKyyYR6Q21VydFLVH3TRQUabQu_ym0Zz7PgGX0-kHA/edit?usp=sharing"",""แผน!N64"")"),0)</f>
        <v>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IFERROR(__xludf.DUMMYFUNCTION("IMPORTRANGE(""https://docs.google.com/spreadsheets/d/1QqKyyYR6Q21VydFLVH3TRQUabQu_ym0Zz7PgGX0-kHA/edit?usp=sharing"",""แผน!O64"")"),0)</f>
        <v>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IFERROR(__xludf.DUMMYFUNCTION("IMPORTRANGE(""https://docs.google.com/spreadsheets/d/1QqKyyYR6Q21VydFLVH3TRQUabQu_ym0Zz7PgGX0-kHA/edit?usp=sharing"",""แผน!O64"")"),0)</f>
        <v>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IFERROR(__xludf.DUMMYFUNCTION("IMPORTRANGE(""https://docs.google.com/spreadsheets/d/1QqKyyYR6Q21VydFLVH3TRQUabQu_ym0Zz7PgGX0-kHA/edit?usp=sharing"",""แผน!P64"")"),0)</f>
        <v>0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IFERROR(__xludf.DUMMYFUNCTION("IMPORTRANGE(""https://docs.google.com/spreadsheets/d/1QqKyyYR6Q21VydFLVH3TRQUabQu_ym0Zz7PgGX0-kHA/edit?usp=sharing"",""แผน!P64"")"),0)</f>
        <v>0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IFERROR(__xludf.DUMMYFUNCTION("IMPORTRANGE(""https://docs.google.com/spreadsheets/d/1QqKyyYR6Q21VydFLVH3TRQUabQu_ym0Zz7PgGX0-kHA/edit?usp=sharing"",""แผน!Q64"")"),1)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IFERROR(__xludf.DUMMYFUNCTION("IMPORTRANGE(""https://docs.google.com/spreadsheets/d/1QqKyyYR6Q21VydFLVH3TRQUabQu_ym0Zz7PgGX0-kHA/edit?usp=sharing"",""แผน!Q64"")"),1)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IFERROR(__xludf.DUMMYFUNCTION("IMPORTRANGE(""https://docs.google.com/spreadsheets/d/1QqKyyYR6Q21VydFLVH3TRQUabQu_ym0Zz7PgGX0-kHA/edit?usp=sharing"",""แผน!R64"")"),0)</f>
        <v>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1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IFERROR(__xludf.DUMMYFUNCTION("IMPORTRANGE(""https://docs.google.com/spreadsheets/d/1QqKyyYR6Q21VydFLVH3TRQUabQu_ym0Zz7PgGX0-kHA/edit?usp=sharing"",""แผน!R64"")"),0)</f>
        <v>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IFERROR(__xludf.DUMMYFUNCTION("IMPORTRANGE(""https://docs.google.com/spreadsheets/d/1QqKyyYR6Q21VydFLVH3TRQUabQu_ym0Zz7PgGX0-kHA/edit?usp=sharing"",""แผน!R64"")"),0)</f>
        <v>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IFERROR(__xludf.DUMMYFUNCTION("IMPORTRANGE(""https://docs.google.com/spreadsheets/d/1QqKyyYR6Q21VydFLVH3TRQUabQu_ym0Zz7PgGX0-kHA/edit?usp=sharing"",""แผน!S64"")"),0)</f>
        <v>0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IFERROR(__xludf.DUMMYFUNCTION("IMPORTRANGE(""https://docs.google.com/spreadsheets/d/1QqKyyYR6Q21VydFLVH3TRQUabQu_ym0Zz7PgGX0-kHA/edit?usp=sharing"",""แผน!T64"")"),1)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IFERROR(__xludf.DUMMYFUNCTION("IMPORTRANGE(""https://docs.google.com/spreadsheets/d/1MeEWN-I1oV_STSDYn1IFDPWt_1FKiwhDph83XaGc0o0/edit?usp=sharing"",""งบพรบ!BA64"")"),0)</f>
        <v>0</v>
      </c>
      <c r="M124" s="90">
        <f ca="1">IFERROR(__xludf.DUMMYFUNCTION("IMPORTRANGE(""https://docs.google.com/spreadsheets/d/1MeEWN-I1oV_STSDYn1IFDPWt_1FKiwhDph83XaGc0o0/edit?usp=sharing"",""งบพรบ!BF64"")"),0)</f>
        <v>0</v>
      </c>
      <c r="N124" s="90">
        <f ca="1">IFERROR(__xludf.DUMMYFUNCTION("IMPORTRANGE(""https://docs.google.com/spreadsheets/d/1MeEWN-I1oV_STSDYn1IFDPWt_1FKiwhDph83XaGc0o0/edit?usp=sharing"",""งบพรบ!BH64"")"),0)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IFERROR(__xludf.DUMMYFUNCTION("IMPORTRANGE(""https://docs.google.com/spreadsheets/d/1MeEWN-I1oV_STSDYn1IFDPWt_1FKiwhDph83XaGc0o0/edit?usp=sharing"",""งบพรบ!BD64"")"),0)</f>
        <v>0</v>
      </c>
      <c r="M127" s="90">
        <f ca="1">IFERROR(__xludf.DUMMYFUNCTION("IMPORTRANGE(""https://docs.google.com/spreadsheets/d/1MeEWN-I1oV_STSDYn1IFDPWt_1FKiwhDph83XaGc0o0/edit?usp=sharing"",""งบพรบ!BG64"")"),0)</f>
        <v>0</v>
      </c>
      <c r="N127" s="90">
        <f ca="1">IFERROR(__xludf.DUMMYFUNCTION("IMPORTRANGE(""https://docs.google.com/spreadsheets/d/1MeEWN-I1oV_STSDYn1IFDPWt_1FKiwhDph83XaGc0o0/edit?usp=sharing"",""งบพรบ!BI64"")"),0)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IFERROR(__xludf.DUMMYFUNCTION("IMPORTRANGE(""https://docs.google.com/spreadsheets/d/1MeEWN-I1oV_STSDYn1IFDPWt_1FKiwhDph83XaGc0o0/edit?usp=sharing"",""งบพรบ!BK64"")"),0)</f>
        <v>0</v>
      </c>
      <c r="M137" s="90">
        <f ca="1">IFERROR(__xludf.DUMMYFUNCTION("IMPORTRANGE(""https://docs.google.com/spreadsheets/d/1MeEWN-I1oV_STSDYn1IFDPWt_1FKiwhDph83XaGc0o0/edit?usp=sharing"",""งบพรบ!BP64"")"),0)</f>
        <v>0</v>
      </c>
      <c r="N137" s="90">
        <f ca="1">IFERROR(__xludf.DUMMYFUNCTION("IMPORTRANGE(""https://docs.google.com/spreadsheets/d/1MeEWN-I1oV_STSDYn1IFDPWt_1FKiwhDph83XaGc0o0/edit?usp=sharing"",""งบพรบ!BR64"")"),0)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IFERROR(__xludf.DUMMYFUNCTION("IMPORTRANGE(""https://docs.google.com/spreadsheets/d/1MeEWN-I1oV_STSDYn1IFDPWt_1FKiwhDph83XaGc0o0/edit?usp=sharing"",""งบพรบ!BN64"")"),0)</f>
        <v>0</v>
      </c>
      <c r="M140" s="90">
        <f ca="1">IFERROR(__xludf.DUMMYFUNCTION("IMPORTRANGE(""https://docs.google.com/spreadsheets/d/1MeEWN-I1oV_STSDYn1IFDPWt_1FKiwhDph83XaGc0o0/edit?usp=sharing"",""งบพรบ!BQ64"")"),0)</f>
        <v>0</v>
      </c>
      <c r="N140" s="90">
        <f ca="1">IFERROR(__xludf.DUMMYFUNCTION("IMPORTRANGE(""https://docs.google.com/spreadsheets/d/1MeEWN-I1oV_STSDYn1IFDPWt_1FKiwhDph83XaGc0o0/edit?usp=sharing"",""งบพรบ!BS64"")"),0)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IFERROR(__xludf.DUMMYFUNCTION("IMPORTRANGE(""https://docs.google.com/spreadsheets/d/1QqKyyYR6Q21VydFLVH3TRQUabQu_ym0Zz7PgGX0-kHA/edit?usp=sharing"",""แผน!U64"")"),0)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IFERROR(__xludf.DUMMYFUNCTION("IMPORTRANGE(""https://docs.google.com/spreadsheets/d/1QqKyyYR6Q21VydFLVH3TRQUabQu_ym0Zz7PgGX0-kHA/edit?usp=sharing"",""แผน!V64"")"),0)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IFERROR(__xludf.DUMMYFUNCTION("IMPORTRANGE(""https://docs.google.com/spreadsheets/d/1QqKyyYR6Q21VydFLVH3TRQUabQu_ym0Zz7PgGX0-kHA/edit?usp=sharing"",""แผน!W64"")"),0)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10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5000</v>
      </c>
      <c r="M149" s="151">
        <f t="shared" ca="1" si="77"/>
        <v>5000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5000</v>
      </c>
      <c r="M151" s="90">
        <f t="shared" ca="1" si="80"/>
        <v>5000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5000</v>
      </c>
      <c r="M152" s="495">
        <f t="shared" ca="1" si="81"/>
        <v>5000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IFERROR(__xludf.DUMMYFUNCTION("IMPORTRANGE(""https://docs.google.com/spreadsheets/d/1MeEWN-I1oV_STSDYn1IFDPWt_1FKiwhDph83XaGc0o0/edit?usp=sharing"",""งบพรบ!BU64"")"),5000)</f>
        <v>5000</v>
      </c>
      <c r="M154" s="90">
        <f ca="1">IFERROR(__xludf.DUMMYFUNCTION("IMPORTRANGE(""https://docs.google.com/spreadsheets/d/1MeEWN-I1oV_STSDYn1IFDPWt_1FKiwhDph83XaGc0o0/edit?usp=sharing"",""งบพรบ!BZ64"")"),5000)</f>
        <v>5000</v>
      </c>
      <c r="N154" s="90">
        <f ca="1">IFERROR(__xludf.DUMMYFUNCTION("IMPORTRANGE(""https://docs.google.com/spreadsheets/d/1MeEWN-I1oV_STSDYn1IFDPWt_1FKiwhDph83XaGc0o0/edit?usp=sharing"",""งบพรบ!CB64"")"),0)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IFERROR(__xludf.DUMMYFUNCTION("IMPORTRANGE(""https://docs.google.com/spreadsheets/d/1MeEWN-I1oV_STSDYn1IFDPWt_1FKiwhDph83XaGc0o0/edit?usp=sharing"",""งบพรบ!BX64"")"),0)</f>
        <v>0</v>
      </c>
      <c r="M157" s="90">
        <f ca="1">IFERROR(__xludf.DUMMYFUNCTION("IMPORTRANGE(""https://docs.google.com/spreadsheets/d/1MeEWN-I1oV_STSDYn1IFDPWt_1FKiwhDph83XaGc0o0/edit?usp=sharing"",""งบพรบ!CA64"")"),0)</f>
        <v>0</v>
      </c>
      <c r="N157" s="90">
        <f ca="1">IFERROR(__xludf.DUMMYFUNCTION("IMPORTRANGE(""https://docs.google.com/spreadsheets/d/1MeEWN-I1oV_STSDYn1IFDPWt_1FKiwhDph83XaGc0o0/edit?usp=sharing"",""งบพรบ!CC64"")"),0)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IFERROR(__xludf.DUMMYFUNCTION("IMPORTRANGE(""https://docs.google.com/spreadsheets/d/1QqKyyYR6Q21VydFLVH3TRQUabQu_ym0Zz7PgGX0-kHA/edit?usp=sharing"",""แผน!X64"")"),10)</f>
        <v>10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12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23060</v>
      </c>
      <c r="M165" s="150">
        <f t="shared" ca="1" si="84"/>
        <v>23060</v>
      </c>
      <c r="N165" s="150">
        <f t="shared" ca="1" si="84"/>
        <v>15840</v>
      </c>
      <c r="O165" s="150">
        <f t="shared" ref="O165:O173" ca="1" si="85">IF(L165&gt;0,N165*100/L165,0)</f>
        <v>68.690372940156109</v>
      </c>
      <c r="P165" s="150">
        <f t="shared" ref="P165:P173" ca="1" si="86">IF(M165&gt;0,N165*100/M165,0)</f>
        <v>68.690372940156109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23060</v>
      </c>
      <c r="M167" s="90">
        <f t="shared" ca="1" si="87"/>
        <v>23060</v>
      </c>
      <c r="N167" s="90">
        <f t="shared" ca="1" si="87"/>
        <v>15840</v>
      </c>
      <c r="O167" s="90">
        <f t="shared" ca="1" si="85"/>
        <v>68.690372940156109</v>
      </c>
      <c r="P167" s="90">
        <f t="shared" ca="1" si="86"/>
        <v>68.690372940156109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23060</v>
      </c>
      <c r="M168" s="495">
        <f t="shared" ca="1" si="88"/>
        <v>23060</v>
      </c>
      <c r="N168" s="495">
        <f t="shared" ca="1" si="88"/>
        <v>15840</v>
      </c>
      <c r="O168" s="495">
        <f t="shared" ca="1" si="85"/>
        <v>68.690372940156109</v>
      </c>
      <c r="P168" s="495">
        <f t="shared" ca="1" si="86"/>
        <v>68.690372940156109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IFERROR(__xludf.DUMMYFUNCTION("IMPORTRANGE(""https://docs.google.com/spreadsheets/d/1MeEWN-I1oV_STSDYn1IFDPWt_1FKiwhDph83XaGc0o0/edit?usp=sharing"",""งบพรบ!CE64"")"),23060)</f>
        <v>23060</v>
      </c>
      <c r="M170" s="90">
        <f ca="1">IFERROR(__xludf.DUMMYFUNCTION("IMPORTRANGE(""https://docs.google.com/spreadsheets/d/1MeEWN-I1oV_STSDYn1IFDPWt_1FKiwhDph83XaGc0o0/edit?usp=sharing"",""งบพรบ!CJ64"")"),23060)</f>
        <v>23060</v>
      </c>
      <c r="N170" s="90">
        <f ca="1">IFERROR(__xludf.DUMMYFUNCTION("IMPORTRANGE(""https://docs.google.com/spreadsheets/d/1MeEWN-I1oV_STSDYn1IFDPWt_1FKiwhDph83XaGc0o0/edit?usp=sharing"",""งบพรบ!CL64"")"),15840)</f>
        <v>15840</v>
      </c>
      <c r="O170" s="90">
        <f t="shared" ca="1" si="85"/>
        <v>68.690372940156109</v>
      </c>
      <c r="P170" s="90">
        <f t="shared" ca="1" si="86"/>
        <v>68.690372940156109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IFERROR(__xludf.DUMMYFUNCTION("IMPORTRANGE(""https://docs.google.com/spreadsheets/d/1MeEWN-I1oV_STSDYn1IFDPWt_1FKiwhDph83XaGc0o0/edit?usp=sharing"",""งบพรบ!CH64"")"),0)</f>
        <v>0</v>
      </c>
      <c r="M173" s="90">
        <f ca="1">IFERROR(__xludf.DUMMYFUNCTION("IMPORTRANGE(""https://docs.google.com/spreadsheets/d/1MeEWN-I1oV_STSDYn1IFDPWt_1FKiwhDph83XaGc0o0/edit?usp=sharing"",""งบพรบ!CK64"")"),0)</f>
        <v>0</v>
      </c>
      <c r="N173" s="90">
        <f ca="1">IFERROR(__xludf.DUMMYFUNCTION("IMPORTRANGE(""https://docs.google.com/spreadsheets/d/1MeEWN-I1oV_STSDYn1IFDPWt_1FKiwhDph83XaGc0o0/edit?usp=sharing"",""งบพรบ!CM64"")"),0)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12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IFERROR(__xludf.DUMMYFUNCTION("IMPORTRANGE(""https://docs.google.com/spreadsheets/d/1QqKyyYR6Q21VydFLVH3TRQUabQu_ym0Zz7PgGX0-kHA/edit?usp=sharing"",""แผน!Y64"")"),12)</f>
        <v>12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20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527750</v>
      </c>
      <c r="M181" s="150">
        <f t="shared" ca="1" si="91"/>
        <v>230750</v>
      </c>
      <c r="N181" s="150">
        <f t="shared" ca="1" si="91"/>
        <v>107428.29</v>
      </c>
      <c r="O181" s="150">
        <f t="shared" ref="O181:O189" ca="1" si="92">IF(L181&gt;0,N181*100/L181,0)</f>
        <v>20.355905258171482</v>
      </c>
      <c r="P181" s="150">
        <f t="shared" ref="P181:P189" ca="1" si="93">IF(M181&gt;0,N181*100/M181,0)</f>
        <v>46.556138678223185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527750</v>
      </c>
      <c r="M183" s="90">
        <f t="shared" ca="1" si="94"/>
        <v>230750</v>
      </c>
      <c r="N183" s="90">
        <f t="shared" ca="1" si="94"/>
        <v>107428.29</v>
      </c>
      <c r="O183" s="90">
        <f t="shared" ca="1" si="92"/>
        <v>20.355905258171482</v>
      </c>
      <c r="P183" s="90">
        <f t="shared" ca="1" si="93"/>
        <v>46.556138678223185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527750</v>
      </c>
      <c r="M184" s="495">
        <f t="shared" ca="1" si="95"/>
        <v>230750</v>
      </c>
      <c r="N184" s="495">
        <f t="shared" ca="1" si="95"/>
        <v>107428.29</v>
      </c>
      <c r="O184" s="495">
        <f t="shared" ca="1" si="92"/>
        <v>20.355905258171482</v>
      </c>
      <c r="P184" s="495">
        <f t="shared" ca="1" si="93"/>
        <v>46.556138678223185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IFERROR(__xludf.DUMMYFUNCTION("IMPORTRANGE(""https://docs.google.com/spreadsheets/d/1MeEWN-I1oV_STSDYn1IFDPWt_1FKiwhDph83XaGc0o0/edit?usp=sharing"",""งบพรบ!CO64"")"),527750)</f>
        <v>527750</v>
      </c>
      <c r="M186" s="90">
        <f ca="1">IFERROR(__xludf.DUMMYFUNCTION("IMPORTRANGE(""https://docs.google.com/spreadsheets/d/1MeEWN-I1oV_STSDYn1IFDPWt_1FKiwhDph83XaGc0o0/edit?usp=sharing"",""งบพรบ!CT64"")"),230750)</f>
        <v>230750</v>
      </c>
      <c r="N186" s="90">
        <f ca="1">IFERROR(__xludf.DUMMYFUNCTION("IMPORTRANGE(""https://docs.google.com/spreadsheets/d/1MeEWN-I1oV_STSDYn1IFDPWt_1FKiwhDph83XaGc0o0/edit?usp=sharing"",""งบพรบ!CV64"")"),107428.29)</f>
        <v>107428.29</v>
      </c>
      <c r="O186" s="90">
        <f t="shared" ca="1" si="92"/>
        <v>20.355905258171482</v>
      </c>
      <c r="P186" s="90">
        <f t="shared" ca="1" si="93"/>
        <v>46.556138678223185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IFERROR(__xludf.DUMMYFUNCTION("IMPORTRANGE(""https://docs.google.com/spreadsheets/d/1MeEWN-I1oV_STSDYn1IFDPWt_1FKiwhDph83XaGc0o0/edit?usp=sharing"",""งบพรบ!CR64"")"),0)</f>
        <v>0</v>
      </c>
      <c r="M189" s="90">
        <f ca="1">IFERROR(__xludf.DUMMYFUNCTION("IMPORTRANGE(""https://docs.google.com/spreadsheets/d/1MeEWN-I1oV_STSDYn1IFDPWt_1FKiwhDph83XaGc0o0/edit?usp=sharing"",""งบพรบ!CU64"")"),0)</f>
        <v>0</v>
      </c>
      <c r="N189" s="90">
        <f ca="1">IFERROR(__xludf.DUMMYFUNCTION("IMPORTRANGE(""https://docs.google.com/spreadsheets/d/1MeEWN-I1oV_STSDYn1IFDPWt_1FKiwhDph83XaGc0o0/edit?usp=sharing"",""งบพรบ!CW64"")"),0)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IFERROR(__xludf.DUMMYFUNCTION("IMPORTRANGE(""https://docs.google.com/spreadsheets/d/1QqKyyYR6Q21VydFLVH3TRQUabQu_ym0Zz7PgGX0-kHA/edit?usp=sharing"",""แผน!Z64"")"),6000)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IFERROR(__xludf.DUMMYFUNCTION("IMPORTRANGE(""https://docs.google.com/spreadsheets/d/1QqKyyYR6Q21VydFLVH3TRQUabQu_ym0Zz7PgGX0-kHA/edit?usp=sharing"",""แผน!AC64"")"),4)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 hidden="1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0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 hidden="1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 hidden="1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IFERROR(__xludf.DUMMYFUNCTION("IMPORTRANGE(""https://docs.google.com/spreadsheets/d/1QqKyyYR6Q21VydFLVH3TRQUabQu_ym0Zz7PgGX0-kHA/edit?usp=sharing"",""แผน!AE64"")"),0)</f>
        <v>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 hidden="1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IFERROR(__xludf.DUMMYFUNCTION("IMPORTRANGE(""https://docs.google.com/spreadsheets/d/1QqKyyYR6Q21VydFLVH3TRQUabQu_ym0Zz7PgGX0-kHA/edit?usp=sharing"",""แผน!AF64"")"),0)</f>
        <v>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 hidden="1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IFERROR(__xludf.DUMMYFUNCTION("IMPORTRANGE(""https://docs.google.com/spreadsheets/d/1QqKyyYR6Q21VydFLVH3TRQUabQu_ym0Zz7PgGX0-kHA/edit?usp=sharing"",""แผน!AG64"")"),0)</f>
        <v>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 hidden="1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IFERROR(__xludf.DUMMYFUNCTION("IMPORTRANGE(""https://docs.google.com/spreadsheets/d/1QqKyyYR6Q21VydFLVH3TRQUabQu_ym0Zz7PgGX0-kHA/edit?usp=sharing"",""แผน!AH64"")"),0)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 hidden="1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 hidden="1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IFERROR(__xludf.DUMMYFUNCTION("IMPORTRANGE(""https://docs.google.com/spreadsheets/d/1QqKyyYR6Q21VydFLVH3TRQUabQu_ym0Zz7PgGX0-kHA/edit?usp=sharing"",""แผน!AI64"")"),0)</f>
        <v>0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 hidden="1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 hidden="1">
      <c r="A206" s="166"/>
      <c r="B206" s="167"/>
      <c r="C206" s="167"/>
      <c r="D206" s="174"/>
      <c r="E206" s="445" t="s">
        <v>343</v>
      </c>
      <c r="F206" s="174"/>
      <c r="G206" s="175"/>
      <c r="H206" s="752" t="s">
        <v>96</v>
      </c>
      <c r="I206" s="264"/>
      <c r="J206" s="210">
        <v>0</v>
      </c>
      <c r="K206" s="159"/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 hidden="1">
      <c r="A207" s="166"/>
      <c r="B207" s="167"/>
      <c r="C207" s="167"/>
      <c r="D207" s="445"/>
      <c r="E207" s="445" t="s">
        <v>344</v>
      </c>
      <c r="F207" s="174"/>
      <c r="G207" s="175"/>
      <c r="H207" s="754" t="s">
        <v>69</v>
      </c>
      <c r="I207" s="264"/>
      <c r="J207" s="210">
        <v>0</v>
      </c>
      <c r="K207" s="159"/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99">I215</f>
        <v>0</v>
      </c>
      <c r="J208" s="266">
        <f t="shared" si="99"/>
        <v>0</v>
      </c>
      <c r="K208" s="267">
        <f ca="1">IF(I208&gt;0,J208*100/I208,0)</f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IFERROR(__xludf.DUMMYFUNCTION("IMPORTRANGE(""https://docs.google.com/spreadsheets/d/1QqKyyYR6Q21VydFLVH3TRQUabQu_ym0Zz7PgGX0-kHA/edit?usp=sharing"",""แผน!AK64"")"),0)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IFERROR(__xludf.DUMMYFUNCTION("IMPORTRANGE(""https://docs.google.com/spreadsheets/d/1QqKyyYR6Q21VydFLVH3TRQUabQu_ym0Zz7PgGX0-kHA/edit?usp=sharing"",""แผน!AL64"")"),0)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IFERROR(__xludf.DUMMYFUNCTION("IMPORTRANGE(""https://docs.google.com/spreadsheets/d/1QqKyyYR6Q21VydFLVH3TRQUabQu_ym0Zz7PgGX0-kHA/edit?usp=sharing"",""แผน!AM64"")"),0)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IFERROR(__xludf.DUMMYFUNCTION("IMPORTRANGE(""https://docs.google.com/spreadsheets/d/1QqKyyYR6Q21VydFLVH3TRQUabQu_ym0Zz7PgGX0-kHA/edit?usp=sharing"",""แผน!AN64"")"),0)</f>
        <v>0</v>
      </c>
      <c r="J214" s="210">
        <v>0</v>
      </c>
      <c r="K214" s="495">
        <f t="shared" ref="K214:K216" ca="1" si="100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IFERROR(__xludf.DUMMYFUNCTION("IMPORTRANGE(""https://docs.google.com/spreadsheets/d/1QqKyyYR6Q21VydFLVH3TRQUabQu_ym0Zz7PgGX0-kHA/edit?usp=sharing"",""แผน!AN64"")"),0)</f>
        <v>0</v>
      </c>
      <c r="J215" s="210">
        <v>0</v>
      </c>
      <c r="K215" s="495">
        <f t="shared" ca="1" si="100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1">I224</f>
        <v>20000</v>
      </c>
      <c r="J216" s="266">
        <f t="shared" si="101"/>
        <v>0</v>
      </c>
      <c r="K216" s="267">
        <f t="shared" ca="1" si="100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8000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IFERROR(__xludf.DUMMYFUNCTION("IMPORTRANGE(""https://docs.google.com/spreadsheets/d/1QqKyyYR6Q21VydFLVH3TRQUabQu_ym0Zz7PgGX0-kHA/edit?usp=sharing"",""แผน!AP64"")"),3000)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IFERROR(__xludf.DUMMYFUNCTION("IMPORTRANGE(""https://docs.google.com/spreadsheets/d/1QqKyyYR6Q21VydFLVH3TRQUabQu_ym0Zz7PgGX0-kHA/edit?usp=sharing"",""แผน!AQ64"")"),5000)</f>
        <v>5000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IFERROR(__xludf.DUMMYFUNCTION("IMPORTRANGE(""https://docs.google.com/spreadsheets/d/1QqKyyYR6Q21VydFLVH3TRQUabQu_ym0Zz7PgGX0-kHA/edit?usp=sharing"",""แผน!AR64"")"),0)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IFERROR(__xludf.DUMMYFUNCTION("IMPORTRANGE(""https://docs.google.com/spreadsheets/d/1QqKyyYR6Q21VydFLVH3TRQUabQu_ym0Zz7PgGX0-kHA/edit?usp=sharing"",""แผน!AT64"")"),20000)</f>
        <v>20000</v>
      </c>
      <c r="J223" s="210">
        <v>0</v>
      </c>
      <c r="K223" s="159">
        <f t="shared" ref="K223:K226" ca="1" si="102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IFERROR(__xludf.DUMMYFUNCTION("IMPORTRANGE(""https://docs.google.com/spreadsheets/d/1QqKyyYR6Q21VydFLVH3TRQUabQu_ym0Zz7PgGX0-kHA/edit?usp=sharing"",""แผน!AT64"")"),20000)</f>
        <v>20000</v>
      </c>
      <c r="J224" s="210">
        <v>0</v>
      </c>
      <c r="K224" s="159">
        <f t="shared" ca="1" si="102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IFERROR(__xludf.DUMMYFUNCTION("IMPORTRANGE(""https://docs.google.com/spreadsheets/d/1QqKyyYR6Q21VydFLVH3TRQUabQu_ym0Zz7PgGX0-kHA/edit?usp=sharing"",""แผน!AS64"")"),0)</f>
        <v>0</v>
      </c>
      <c r="J225" s="210">
        <v>0</v>
      </c>
      <c r="K225" s="159">
        <f t="shared" ca="1" si="102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3">I237+I248</f>
        <v>#VALUE!</v>
      </c>
      <c r="J226" s="340">
        <f t="shared" si="103"/>
        <v>20</v>
      </c>
      <c r="K226" s="341" t="e">
        <f t="shared" ca="1" si="102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4">L238+L249</f>
        <v>227750</v>
      </c>
      <c r="M227" s="351"/>
      <c r="N227" s="351">
        <f t="shared" ref="N227:N231" si="105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4"/>
        <v>163000</v>
      </c>
      <c r="M228" s="90"/>
      <c r="N228" s="90">
        <f t="shared" si="105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4"/>
        <v>37250</v>
      </c>
      <c r="M229" s="90"/>
      <c r="N229" s="90">
        <f t="shared" si="105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4"/>
        <v>17500</v>
      </c>
      <c r="M230" s="90"/>
      <c r="N230" s="90">
        <f t="shared" si="105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4"/>
        <v>10000</v>
      </c>
      <c r="M231" s="90"/>
      <c r="N231" s="90">
        <f t="shared" si="105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6">I244+I255</f>
        <v>#VALUE!</v>
      </c>
      <c r="J233" s="609">
        <f t="shared" si="106"/>
        <v>20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7">I246+I257</f>
        <v>35</v>
      </c>
      <c r="J235" s="609">
        <f t="shared" si="107"/>
        <v>0</v>
      </c>
      <c r="K235" s="90">
        <f t="shared" ref="K235:K237" si="108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7"/>
        <v>1</v>
      </c>
      <c r="J236" s="609">
        <f t="shared" si="107"/>
        <v>0</v>
      </c>
      <c r="K236" s="90">
        <f t="shared" si="108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341</v>
      </c>
      <c r="D237" s="251"/>
      <c r="E237" s="251"/>
      <c r="F237" s="251"/>
      <c r="G237" s="253"/>
      <c r="H237" s="254" t="s">
        <v>35</v>
      </c>
      <c r="I237" s="266">
        <f t="shared" ref="I237:J237" ca="1" si="109">I244</f>
        <v>35</v>
      </c>
      <c r="J237" s="266">
        <f t="shared" si="109"/>
        <v>20</v>
      </c>
      <c r="K237" s="267">
        <f t="shared" ca="1" si="108"/>
        <v>57.142857142857146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227750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IFERROR(__xludf.DUMMYFUNCTION("IMPORTRANGE(""https://docs.google.com/spreadsheets/d/1QqKyyYR6Q21VydFLVH3TRQUabQu_ym0Zz7PgGX0-kHA/edit?usp=sharing"",""แผน!AV64"")"),163000)</f>
        <v>163000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IFERROR(__xludf.DUMMYFUNCTION("IMPORTRANGE(""https://docs.google.com/spreadsheets/d/1QqKyyYR6Q21VydFLVH3TRQUabQu_ym0Zz7PgGX0-kHA/edit?usp=sharing"",""แผน!AW64"")"),37250)</f>
        <v>37250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IFERROR(__xludf.DUMMYFUNCTION("IMPORTRANGE(""https://docs.google.com/spreadsheets/d/1QqKyyYR6Q21VydFLVH3TRQUabQu_ym0Zz7PgGX0-kHA/edit?usp=sharing"",""แผน!AX64"")"),17500)</f>
        <v>17500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IFERROR(__xludf.DUMMYFUNCTION("IMPORTRANGE(""https://docs.google.com/spreadsheets/d/1QqKyyYR6Q21VydFLVH3TRQUabQu_ym0Zz7PgGX0-kHA/edit?usp=sharing"",""แผน!AY64"")"),10000)</f>
        <v>10000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IFERROR(__xludf.DUMMYFUNCTION("IMPORTRANGE(""https://docs.google.com/spreadsheets/d/1QqKyyYR6Q21VydFLVH3TRQUabQu_ym0Zz7PgGX0-kHA/edit?usp=sharing"",""แผน!BE64"")"),35)</f>
        <v>35</v>
      </c>
      <c r="J244" s="210">
        <v>20</v>
      </c>
      <c r="K244" s="495">
        <f ca="1">IF(I244&gt;0,J244*100/I244,0)</f>
        <v>57.142857142857146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35</v>
      </c>
      <c r="J246" s="210">
        <v>0</v>
      </c>
      <c r="K246" s="495">
        <f t="shared" ref="K246:K248" si="110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0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1">I255</f>
        <v/>
      </c>
      <c r="J248" s="266">
        <f t="shared" si="111"/>
        <v>0</v>
      </c>
      <c r="K248" s="267" t="e">
        <f t="shared" ca="1" si="110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IFERROR(__xludf.DUMMYFUNCTION("IMPORTRANGE(""https://docs.google.com/spreadsheets/d/1QqKyyYR6Q21VydFLVH3TRQUabQu_ym0Zz7PgGX0-kHA/edit?usp=sharing"",""แผน!AZ64"")"),0)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IFERROR(__xludf.DUMMYFUNCTION("IMPORTRANGE(""https://docs.google.com/spreadsheets/d/1QqKyyYR6Q21VydFLVH3TRQUabQu_ym0Zz7PgGX0-kHA/edit?usp=sharing"",""แผน!BA64"")"),0)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IFERROR(__xludf.DUMMYFUNCTION("IMPORTRANGE(""https://docs.google.com/spreadsheets/d/1QqKyyYR6Q21VydFLVH3TRQUabQu_ym0Zz7PgGX0-kHA/edit?usp=sharing"",""แผน!BB64"")"),0)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IFERROR(__xludf.DUMMYFUNCTION("IMPORTRANGE(""https://docs.google.com/spreadsheets/d/1QqKyyYR6Q21VydFLVH3TRQUabQu_ym0Zz7PgGX0-kHA/edit?usp=sharing"",""แผน!BC64"")"),0)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IFERROR(__xludf.DUMMYFUNCTION("IMPORTRANGE(""https://docs.google.com/spreadsheets/d/1QqKyyYR6Q21VydFLVH3TRQUabQu_ym0Zz7PgGX0-kHA/edit?usp=sharing"",""แผน!BF64"")"),"")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2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2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3">I271</f>
        <v>22</v>
      </c>
      <c r="J260" s="371">
        <f t="shared" si="113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4">L262+L263</f>
        <v>26900</v>
      </c>
      <c r="M261" s="151">
        <f t="shared" ca="1" si="114"/>
        <v>0</v>
      </c>
      <c r="N261" s="151">
        <f t="shared" ca="1" si="114"/>
        <v>0</v>
      </c>
      <c r="O261" s="151">
        <f t="shared" ref="O261:O269" ca="1" si="115">IF(L261&gt;0,N261*100/L261,0)</f>
        <v>0</v>
      </c>
      <c r="P261" s="151">
        <f t="shared" ref="P261:P269" ca="1" si="116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7">L265+L268</f>
        <v>0</v>
      </c>
      <c r="M262" s="90">
        <f t="shared" si="117"/>
        <v>0</v>
      </c>
      <c r="N262" s="90">
        <f t="shared" si="117"/>
        <v>0</v>
      </c>
      <c r="O262" s="90">
        <f t="shared" si="115"/>
        <v>0</v>
      </c>
      <c r="P262" s="90">
        <f t="shared" si="116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7"/>
        <v>26900</v>
      </c>
      <c r="M263" s="90">
        <f t="shared" ca="1" si="117"/>
        <v>0</v>
      </c>
      <c r="N263" s="90">
        <f t="shared" ca="1" si="117"/>
        <v>0</v>
      </c>
      <c r="O263" s="90">
        <f t="shared" ca="1" si="115"/>
        <v>0</v>
      </c>
      <c r="P263" s="90">
        <f t="shared" ca="1" si="116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8">L265+L266</f>
        <v>26900</v>
      </c>
      <c r="M264" s="495">
        <f t="shared" ca="1" si="118"/>
        <v>0</v>
      </c>
      <c r="N264" s="495">
        <f t="shared" ca="1" si="118"/>
        <v>0</v>
      </c>
      <c r="O264" s="495">
        <f t="shared" ca="1" si="115"/>
        <v>0</v>
      </c>
      <c r="P264" s="495">
        <f t="shared" ca="1" si="116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5"/>
        <v>0</v>
      </c>
      <c r="P265" s="90">
        <f t="shared" si="116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IFERROR(__xludf.DUMMYFUNCTION("IMPORTRANGE(""https://docs.google.com/spreadsheets/d/1MeEWN-I1oV_STSDYn1IFDPWt_1FKiwhDph83XaGc0o0/edit?usp=sharing"",""งบพรบ!CY64"")"),26900)</f>
        <v>26900</v>
      </c>
      <c r="M266" s="90">
        <f ca="1">IFERROR(__xludf.DUMMYFUNCTION("IMPORTRANGE(""https://docs.google.com/spreadsheets/d/1MeEWN-I1oV_STSDYn1IFDPWt_1FKiwhDph83XaGc0o0/edit?usp=sharing"",""งบพรบ!DD64"")"),0)</f>
        <v>0</v>
      </c>
      <c r="N266" s="90">
        <f ca="1">IFERROR(__xludf.DUMMYFUNCTION("IMPORTRANGE(""https://docs.google.com/spreadsheets/d/1MeEWN-I1oV_STSDYn1IFDPWt_1FKiwhDph83XaGc0o0/edit?usp=sharing"",""งบพรบ!DF64"")"),0)</f>
        <v>0</v>
      </c>
      <c r="O266" s="90">
        <f t="shared" ca="1" si="115"/>
        <v>0</v>
      </c>
      <c r="P266" s="90">
        <f t="shared" ca="1" si="116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19">L268+L269</f>
        <v>0</v>
      </c>
      <c r="M267" s="495">
        <f t="shared" ca="1" si="119"/>
        <v>0</v>
      </c>
      <c r="N267" s="495">
        <f t="shared" ca="1" si="119"/>
        <v>0</v>
      </c>
      <c r="O267" s="495">
        <f t="shared" ca="1" si="115"/>
        <v>0</v>
      </c>
      <c r="P267" s="495">
        <f t="shared" ca="1" si="116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5"/>
        <v>0</v>
      </c>
      <c r="P268" s="90">
        <f t="shared" si="116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IFERROR(__xludf.DUMMYFUNCTION("IMPORTRANGE(""https://docs.google.com/spreadsheets/d/1MeEWN-I1oV_STSDYn1IFDPWt_1FKiwhDph83XaGc0o0/edit?usp=sharing"",""งบพรบ!DB64"")"),0)</f>
        <v>0</v>
      </c>
      <c r="M269" s="90">
        <f ca="1">IFERROR(__xludf.DUMMYFUNCTION("IMPORTRANGE(""https://docs.google.com/spreadsheets/d/1MeEWN-I1oV_STSDYn1IFDPWt_1FKiwhDph83XaGc0o0/edit?usp=sharing"",""งบพรบ!DE64"")"),0)</f>
        <v>0</v>
      </c>
      <c r="N269" s="90">
        <f ca="1">IFERROR(__xludf.DUMMYFUNCTION("IMPORTRANGE(""https://docs.google.com/spreadsheets/d/1MeEWN-I1oV_STSDYn1IFDPWt_1FKiwhDph83XaGc0o0/edit?usp=sharing"",""งบพรบ!DG64"")"),0)</f>
        <v>0</v>
      </c>
      <c r="O269" s="90">
        <f t="shared" ca="1" si="115"/>
        <v>0</v>
      </c>
      <c r="P269" s="90">
        <f t="shared" ca="1" si="116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IFERROR(__xludf.DUMMYFUNCTION("IMPORTRANGE(""https://docs.google.com/spreadsheets/d/1QqKyyYR6Q21VydFLVH3TRQUabQu_ym0Zz7PgGX0-kHA/edit?usp=sharing"",""แผน!EA64"")"),22)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0">I288</f>
        <v>0</v>
      </c>
      <c r="J275" s="403">
        <f t="shared" ca="1" si="120"/>
        <v>0</v>
      </c>
      <c r="K275" s="404">
        <f t="shared" ref="K275:K276" ca="1" si="121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2">I287</f>
        <v>0</v>
      </c>
      <c r="J276" s="407">
        <f t="shared" si="122"/>
        <v>0</v>
      </c>
      <c r="K276" s="405">
        <f t="shared" ca="1" si="121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3">L278+L279</f>
        <v>0</v>
      </c>
      <c r="M277" s="151">
        <f t="shared" ca="1" si="123"/>
        <v>0</v>
      </c>
      <c r="N277" s="151">
        <f t="shared" ca="1" si="123"/>
        <v>0</v>
      </c>
      <c r="O277" s="151">
        <f t="shared" ref="O277:O285" ca="1" si="124">IF(L277&gt;0,N277*100/L277,0)</f>
        <v>0</v>
      </c>
      <c r="P277" s="151">
        <f t="shared" ref="P277:P285" ca="1" si="125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6">L281+L284</f>
        <v>0</v>
      </c>
      <c r="M278" s="90">
        <f t="shared" si="126"/>
        <v>0</v>
      </c>
      <c r="N278" s="90">
        <f t="shared" si="126"/>
        <v>0</v>
      </c>
      <c r="O278" s="90">
        <f t="shared" si="124"/>
        <v>0</v>
      </c>
      <c r="P278" s="90">
        <f t="shared" si="125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6"/>
        <v>0</v>
      </c>
      <c r="M279" s="90">
        <f t="shared" ca="1" si="126"/>
        <v>0</v>
      </c>
      <c r="N279" s="90">
        <f t="shared" ca="1" si="126"/>
        <v>0</v>
      </c>
      <c r="O279" s="90">
        <f t="shared" ca="1" si="124"/>
        <v>0</v>
      </c>
      <c r="P279" s="90">
        <f t="shared" ca="1" si="125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7">L281+L282</f>
        <v>0</v>
      </c>
      <c r="M280" s="495">
        <f t="shared" ca="1" si="127"/>
        <v>0</v>
      </c>
      <c r="N280" s="495">
        <f t="shared" ca="1" si="127"/>
        <v>0</v>
      </c>
      <c r="O280" s="495">
        <f t="shared" ca="1" si="124"/>
        <v>0</v>
      </c>
      <c r="P280" s="495">
        <f t="shared" ca="1" si="125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4"/>
        <v>0</v>
      </c>
      <c r="P281" s="90">
        <f t="shared" si="125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IFERROR(__xludf.DUMMYFUNCTION("IMPORTRANGE(""https://docs.google.com/spreadsheets/d/1MeEWN-I1oV_STSDYn1IFDPWt_1FKiwhDph83XaGc0o0/edit?usp=sharing"",""งบพรบ!DI64"")"),0)</f>
        <v>0</v>
      </c>
      <c r="M282" s="90">
        <f ca="1">IFERROR(__xludf.DUMMYFUNCTION("IMPORTRANGE(""https://docs.google.com/spreadsheets/d/1MeEWN-I1oV_STSDYn1IFDPWt_1FKiwhDph83XaGc0o0/edit?usp=sharing"",""งบพรบ!DN64"")"),0)</f>
        <v>0</v>
      </c>
      <c r="N282" s="90">
        <f ca="1">IFERROR(__xludf.DUMMYFUNCTION("IMPORTRANGE(""https://docs.google.com/spreadsheets/d/1MeEWN-I1oV_STSDYn1IFDPWt_1FKiwhDph83XaGc0o0/edit?usp=sharing"",""งบพรบ!DP64"")"),0)</f>
        <v>0</v>
      </c>
      <c r="O282" s="90">
        <f t="shared" ca="1" si="124"/>
        <v>0</v>
      </c>
      <c r="P282" s="90">
        <f t="shared" ca="1" si="125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8">L284+L285</f>
        <v>0</v>
      </c>
      <c r="M283" s="495">
        <f t="shared" ca="1" si="128"/>
        <v>0</v>
      </c>
      <c r="N283" s="495">
        <f t="shared" ca="1" si="128"/>
        <v>0</v>
      </c>
      <c r="O283" s="495">
        <f t="shared" ca="1" si="124"/>
        <v>0</v>
      </c>
      <c r="P283" s="495">
        <f t="shared" ca="1" si="125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4"/>
        <v>0</v>
      </c>
      <c r="P284" s="90">
        <f t="shared" si="125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IFERROR(__xludf.DUMMYFUNCTION("IMPORTRANGE(""https://docs.google.com/spreadsheets/d/1MeEWN-I1oV_STSDYn1IFDPWt_1FKiwhDph83XaGc0o0/edit?usp=sharing"",""งบพรบ!DL64"")"),0)</f>
        <v>0</v>
      </c>
      <c r="M285" s="90">
        <f ca="1">IFERROR(__xludf.DUMMYFUNCTION("IMPORTRANGE(""https://docs.google.com/spreadsheets/d/1MeEWN-I1oV_STSDYn1IFDPWt_1FKiwhDph83XaGc0o0/edit?usp=sharing"",""งบพรบ!DO64"")"),0)</f>
        <v>0</v>
      </c>
      <c r="N285" s="90">
        <f ca="1">IFERROR(__xludf.DUMMYFUNCTION("IMPORTRANGE(""https://docs.google.com/spreadsheets/d/1MeEWN-I1oV_STSDYn1IFDPWt_1FKiwhDph83XaGc0o0/edit?usp=sharing"",""งบพรบ!DQ64"")"),0)</f>
        <v>0</v>
      </c>
      <c r="O285" s="90">
        <f t="shared" ca="1" si="124"/>
        <v>0</v>
      </c>
      <c r="P285" s="90">
        <f t="shared" ca="1" si="125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IFERROR(__xludf.DUMMYFUNCTION("IMPORTRANGE(""https://docs.google.com/spreadsheets/d/1QqKyyYR6Q21VydFLVH3TRQUabQu_ym0Zz7PgGX0-kHA/edit?usp=sharing"",""แผน!EC64"")"),0)</f>
        <v>0</v>
      </c>
      <c r="J287" s="264">
        <v>0</v>
      </c>
      <c r="K287" s="159">
        <f t="shared" ref="K287:K288" ca="1" si="129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IFERROR(__xludf.DUMMYFUNCTION("IMPORTRANGE(""https://docs.google.com/spreadsheets/d/1QqKyyYR6Q21VydFLVH3TRQUabQu_ym0Zz7PgGX0-kHA/edit?usp=sharing"",""แผน!EB64"")"),0)</f>
        <v>0</v>
      </c>
      <c r="J288" s="673">
        <f ca="1">IF(AND(J291&gt;=I288,J294&gt;=I288),J294,0)</f>
        <v>0</v>
      </c>
      <c r="K288" s="409">
        <f t="shared" ca="1" si="129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IFERROR(__xludf.DUMMYFUNCTION("IMPORTRANGE(""https://docs.google.com/spreadsheets/d/1QqKyyYR6Q21VydFLVH3TRQUabQu_ym0Zz7PgGX0-kHA/edit?usp=sharing"",""แผน!EB64"")"),0)</f>
        <v>0</v>
      </c>
      <c r="J290" s="210">
        <v>0</v>
      </c>
      <c r="K290" s="159">
        <f t="shared" ref="K290:K291" ca="1" si="130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IFERROR(__xludf.DUMMYFUNCTION("IMPORTRANGE(""https://docs.google.com/spreadsheets/d/1QqKyyYR6Q21VydFLVH3TRQUabQu_ym0Zz7PgGX0-kHA/edit?usp=sharing"",""แผน!EB64"")"),0)</f>
        <v>0</v>
      </c>
      <c r="J291" s="210">
        <v>0</v>
      </c>
      <c r="K291" s="159">
        <f t="shared" ca="1" si="130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IFERROR(__xludf.DUMMYFUNCTION("IMPORTRANGE(""https://docs.google.com/spreadsheets/d/1QqKyyYR6Q21VydFLVH3TRQUabQu_ym0Zz7PgGX0-kHA/edit?usp=sharing"",""แผน!EB64"")"),0)</f>
        <v>0</v>
      </c>
      <c r="J293" s="210">
        <v>0</v>
      </c>
      <c r="K293" s="159">
        <f t="shared" ref="K293:K294" ca="1" si="131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IFERROR(__xludf.DUMMYFUNCTION("IMPORTRANGE(""https://docs.google.com/spreadsheets/d/1QqKyyYR6Q21VydFLVH3TRQUabQu_ym0Zz7PgGX0-kHA/edit?usp=sharing"",""แผน!EB64"")"),0)</f>
        <v>0</v>
      </c>
      <c r="J294" s="422">
        <v>0</v>
      </c>
      <c r="K294" s="382">
        <f t="shared" ca="1" si="131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2">I309</f>
        <v>15</v>
      </c>
      <c r="J297" s="442">
        <f t="shared" si="132"/>
        <v>15</v>
      </c>
      <c r="K297" s="443">
        <f ca="1">IF(I297&gt;0,J297*100/I297,0)</f>
        <v>100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3">L299+L300</f>
        <v>63800</v>
      </c>
      <c r="M298" s="151">
        <f t="shared" ca="1" si="133"/>
        <v>37840</v>
      </c>
      <c r="N298" s="151">
        <f t="shared" ca="1" si="133"/>
        <v>23780.400000000001</v>
      </c>
      <c r="O298" s="151">
        <f t="shared" ref="O298:O306" ca="1" si="134">IF(L298&gt;0,N298*100/L298,0)</f>
        <v>37.27335423197492</v>
      </c>
      <c r="P298" s="151">
        <f t="shared" ref="P298:P306" ca="1" si="135">IF(M298&gt;0,N298*100/M298,0)</f>
        <v>62.844608879492597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6">L302+L305</f>
        <v>0</v>
      </c>
      <c r="M299" s="90">
        <f t="shared" si="136"/>
        <v>0</v>
      </c>
      <c r="N299" s="90">
        <f t="shared" si="136"/>
        <v>0</v>
      </c>
      <c r="O299" s="90">
        <f t="shared" si="134"/>
        <v>0</v>
      </c>
      <c r="P299" s="90">
        <f t="shared" si="135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6"/>
        <v>63800</v>
      </c>
      <c r="M300" s="90">
        <f t="shared" ca="1" si="136"/>
        <v>37840</v>
      </c>
      <c r="N300" s="90">
        <f t="shared" ca="1" si="136"/>
        <v>23780.400000000001</v>
      </c>
      <c r="O300" s="90">
        <f t="shared" ca="1" si="134"/>
        <v>37.27335423197492</v>
      </c>
      <c r="P300" s="90">
        <f t="shared" ca="1" si="135"/>
        <v>62.844608879492597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7">L302+L303</f>
        <v>63800</v>
      </c>
      <c r="M301" s="495">
        <f t="shared" ca="1" si="137"/>
        <v>37840</v>
      </c>
      <c r="N301" s="495">
        <f t="shared" ca="1" si="137"/>
        <v>23780.400000000001</v>
      </c>
      <c r="O301" s="495">
        <f t="shared" ca="1" si="134"/>
        <v>37.27335423197492</v>
      </c>
      <c r="P301" s="495">
        <f t="shared" ca="1" si="135"/>
        <v>62.844608879492597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4"/>
        <v>0</v>
      </c>
      <c r="P302" s="90">
        <f t="shared" si="135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IFERROR(__xludf.DUMMYFUNCTION("IMPORTRANGE(""https://docs.google.com/spreadsheets/d/1MeEWN-I1oV_STSDYn1IFDPWt_1FKiwhDph83XaGc0o0/edit?usp=sharing"",""งบพรบ!DS64"")"),63800)</f>
        <v>63800</v>
      </c>
      <c r="M303" s="90">
        <f ca="1">IFERROR(__xludf.DUMMYFUNCTION("IMPORTRANGE(""https://docs.google.com/spreadsheets/d/1MeEWN-I1oV_STSDYn1IFDPWt_1FKiwhDph83XaGc0o0/edit?usp=sharing"",""งบพรบ!DX64"")"),37840)</f>
        <v>37840</v>
      </c>
      <c r="N303" s="90">
        <f ca="1">IFERROR(__xludf.DUMMYFUNCTION("IMPORTRANGE(""https://docs.google.com/spreadsheets/d/1MeEWN-I1oV_STSDYn1IFDPWt_1FKiwhDph83XaGc0o0/edit?usp=sharing"",""งบพรบ!DZ64"")"),23780.4)</f>
        <v>23780.400000000001</v>
      </c>
      <c r="O303" s="90">
        <f t="shared" ca="1" si="134"/>
        <v>37.27335423197492</v>
      </c>
      <c r="P303" s="90">
        <f t="shared" ca="1" si="135"/>
        <v>62.844608879492597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8">L305+L306</f>
        <v>0</v>
      </c>
      <c r="M304" s="495">
        <f t="shared" ca="1" si="138"/>
        <v>0</v>
      </c>
      <c r="N304" s="495">
        <f t="shared" ca="1" si="138"/>
        <v>0</v>
      </c>
      <c r="O304" s="495">
        <f t="shared" ca="1" si="134"/>
        <v>0</v>
      </c>
      <c r="P304" s="495">
        <f t="shared" ca="1" si="135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4"/>
        <v>0</v>
      </c>
      <c r="P305" s="90">
        <f t="shared" si="135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IFERROR(__xludf.DUMMYFUNCTION("IMPORTRANGE(""https://docs.google.com/spreadsheets/d/1MeEWN-I1oV_STSDYn1IFDPWt_1FKiwhDph83XaGc0o0/edit?usp=sharing"",""งบพรบ!DV64"")"),0)</f>
        <v>0</v>
      </c>
      <c r="M306" s="90">
        <f ca="1">IFERROR(__xludf.DUMMYFUNCTION("IMPORTRANGE(""https://docs.google.com/spreadsheets/d/1MeEWN-I1oV_STSDYn1IFDPWt_1FKiwhDph83XaGc0o0/edit?usp=sharing"",""งบพรบ!DY64"")"),0)</f>
        <v>0</v>
      </c>
      <c r="N306" s="90">
        <f ca="1">IFERROR(__xludf.DUMMYFUNCTION("IMPORTRANGE(""https://docs.google.com/spreadsheets/d/1MeEWN-I1oV_STSDYn1IFDPWt_1FKiwhDph83XaGc0o0/edit?usp=sharing"",""งบพรบ!EA64"")"),0)</f>
        <v>0</v>
      </c>
      <c r="O306" s="90">
        <f t="shared" ca="1" si="134"/>
        <v>0</v>
      </c>
      <c r="P306" s="90">
        <f t="shared" ca="1" si="135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IFERROR(__xludf.DUMMYFUNCTION("IMPORTRANGE(""https://docs.google.com/spreadsheets/d/1QqKyyYR6Q21VydFLVH3TRQUabQu_ym0Zz7PgGX0-kHA/edit?usp=sharing"",""แผน!ED64"")"),15)</f>
        <v>15</v>
      </c>
      <c r="J309" s="210">
        <v>15</v>
      </c>
      <c r="K309" s="495">
        <f t="shared" ref="K309:K312" ca="1" si="139">IF(I309&gt;0,J309*100/I309,0)</f>
        <v>100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IFERROR(__xludf.DUMMYFUNCTION("IMPORTRANGE(""https://docs.google.com/spreadsheets/d/1QqKyyYR6Q21VydFLVH3TRQUabQu_ym0Zz7PgGX0-kHA/edit?usp=sharing"",""แผน!ED64"")"),15)</f>
        <v>15</v>
      </c>
      <c r="J310" s="210">
        <v>15</v>
      </c>
      <c r="K310" s="495">
        <f t="shared" ca="1" si="139"/>
        <v>100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IFERROR(__xludf.DUMMYFUNCTION("IMPORTRANGE(""https://docs.google.com/spreadsheets/d/1QqKyyYR6Q21VydFLVH3TRQUabQu_ym0Zz7PgGX0-kHA/edit?usp=sharing"",""แผน!ED64"")"),15)</f>
        <v>15</v>
      </c>
      <c r="J311" s="210">
        <v>0</v>
      </c>
      <c r="K311" s="495">
        <f t="shared" ca="1" si="139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IFERROR(__xludf.DUMMYFUNCTION("IMPORTRANGE(""https://docs.google.com/spreadsheets/d/1QqKyyYR6Q21VydFLVH3TRQUabQu_ym0Zz7PgGX0-kHA/edit?usp=sharing"",""แผน!EE64"")"),3)</f>
        <v>3</v>
      </c>
      <c r="J312" s="210">
        <v>0</v>
      </c>
      <c r="K312" s="495">
        <f t="shared" ca="1" si="139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0">I325</f>
        <v>0</v>
      </c>
      <c r="J314" s="442">
        <f t="shared" si="140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1">L316+L317</f>
        <v>0</v>
      </c>
      <c r="M315" s="151">
        <f t="shared" ca="1" si="141"/>
        <v>0</v>
      </c>
      <c r="N315" s="151">
        <f t="shared" ca="1" si="141"/>
        <v>0</v>
      </c>
      <c r="O315" s="151">
        <f t="shared" ref="O315:O323" ca="1" si="142">IF(L315&gt;0,N315*100/L315,0)</f>
        <v>0</v>
      </c>
      <c r="P315" s="151">
        <f t="shared" ref="P315:P323" ca="1" si="143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4">L319+L322</f>
        <v>0</v>
      </c>
      <c r="M316" s="90">
        <f t="shared" si="144"/>
        <v>0</v>
      </c>
      <c r="N316" s="90">
        <f t="shared" si="144"/>
        <v>0</v>
      </c>
      <c r="O316" s="90">
        <f t="shared" si="142"/>
        <v>0</v>
      </c>
      <c r="P316" s="90">
        <f t="shared" si="143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4"/>
        <v>0</v>
      </c>
      <c r="M317" s="90">
        <f t="shared" ca="1" si="144"/>
        <v>0</v>
      </c>
      <c r="N317" s="90">
        <f t="shared" ca="1" si="144"/>
        <v>0</v>
      </c>
      <c r="O317" s="90">
        <f t="shared" ca="1" si="142"/>
        <v>0</v>
      </c>
      <c r="P317" s="90">
        <f t="shared" ca="1" si="143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5">L319+L320</f>
        <v>0</v>
      </c>
      <c r="M318" s="495">
        <f t="shared" ca="1" si="145"/>
        <v>0</v>
      </c>
      <c r="N318" s="495">
        <f t="shared" ca="1" si="145"/>
        <v>0</v>
      </c>
      <c r="O318" s="495">
        <f t="shared" ca="1" si="142"/>
        <v>0</v>
      </c>
      <c r="P318" s="495">
        <f t="shared" ca="1" si="143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2"/>
        <v>0</v>
      </c>
      <c r="P319" s="90">
        <f t="shared" si="143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IFERROR(__xludf.DUMMYFUNCTION("IMPORTRANGE(""https://docs.google.com/spreadsheets/d/1MeEWN-I1oV_STSDYn1IFDPWt_1FKiwhDph83XaGc0o0/edit?usp=sharing"",""งบพรบ!EC64"")"),0)</f>
        <v>0</v>
      </c>
      <c r="M320" s="90">
        <f ca="1">IFERROR(__xludf.DUMMYFUNCTION("IMPORTRANGE(""https://docs.google.com/spreadsheets/d/1MeEWN-I1oV_STSDYn1IFDPWt_1FKiwhDph83XaGc0o0/edit?usp=sharing"",""งบพรบ!EH64"")"),0)</f>
        <v>0</v>
      </c>
      <c r="N320" s="90">
        <f ca="1">IFERROR(__xludf.DUMMYFUNCTION("IMPORTRANGE(""https://docs.google.com/spreadsheets/d/1MeEWN-I1oV_STSDYn1IFDPWt_1FKiwhDph83XaGc0o0/edit?usp=sharing"",""งบพรบ!EJ64"")"),0)</f>
        <v>0</v>
      </c>
      <c r="O320" s="90">
        <f t="shared" ca="1" si="142"/>
        <v>0</v>
      </c>
      <c r="P320" s="90">
        <f t="shared" ca="1" si="143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6">L322+L323</f>
        <v>0</v>
      </c>
      <c r="M321" s="495">
        <f t="shared" ca="1" si="146"/>
        <v>0</v>
      </c>
      <c r="N321" s="495">
        <f t="shared" ca="1" si="146"/>
        <v>0</v>
      </c>
      <c r="O321" s="495">
        <f t="shared" ca="1" si="142"/>
        <v>0</v>
      </c>
      <c r="P321" s="495">
        <f t="shared" ca="1" si="143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2"/>
        <v>0</v>
      </c>
      <c r="P322" s="90">
        <f t="shared" si="143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IFERROR(__xludf.DUMMYFUNCTION("IMPORTRANGE(""https://docs.google.com/spreadsheets/d/1MeEWN-I1oV_STSDYn1IFDPWt_1FKiwhDph83XaGc0o0/edit?usp=sharing"",""งบพรบ!EF64"")"),0)</f>
        <v>0</v>
      </c>
      <c r="M323" s="90">
        <f ca="1">IFERROR(__xludf.DUMMYFUNCTION("IMPORTRANGE(""https://docs.google.com/spreadsheets/d/1MeEWN-I1oV_STSDYn1IFDPWt_1FKiwhDph83XaGc0o0/edit?usp=sharing"",""งบพรบ!EI64"")"),0)</f>
        <v>0</v>
      </c>
      <c r="N323" s="90">
        <f ca="1">IFERROR(__xludf.DUMMYFUNCTION("IMPORTRANGE(""https://docs.google.com/spreadsheets/d/1MeEWN-I1oV_STSDYn1IFDPWt_1FKiwhDph83XaGc0o0/edit?usp=sharing"",""งบพรบ!EK64"")"),0)</f>
        <v>0</v>
      </c>
      <c r="O323" s="90">
        <f t="shared" ca="1" si="142"/>
        <v>0</v>
      </c>
      <c r="P323" s="90">
        <f t="shared" ca="1" si="143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IFERROR(__xludf.DUMMYFUNCTION("IMPORTRANGE(""https://docs.google.com/spreadsheets/d/1QqKyyYR6Q21VydFLVH3TRQUabQu_ym0Zz7PgGX0-kHA/edit?usp=sharing"",""แผน!EF64"")"),0)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IFERROR(__xludf.DUMMYFUNCTION("IMPORTRANGE(""https://docs.google.com/spreadsheets/d/1QqKyyYR6Q21VydFLVH3TRQUabQu_ym0Zz7PgGX0-kHA/edit?usp=sharing"",""แผน!EG64"")"),800)</f>
        <v>800</v>
      </c>
      <c r="J327" s="442">
        <f ca="1">J338+J341+J342+J343</f>
        <v>85</v>
      </c>
      <c r="K327" s="443">
        <f ca="1">IF(I327&gt;0,J327*100/I327,0)</f>
        <v>10.625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7">L329+L330</f>
        <v>588600</v>
      </c>
      <c r="M328" s="151">
        <f t="shared" ca="1" si="147"/>
        <v>294300</v>
      </c>
      <c r="N328" s="151">
        <f t="shared" ca="1" si="147"/>
        <v>57270.14</v>
      </c>
      <c r="O328" s="151">
        <f t="shared" ref="O328:O336" ca="1" si="148">IF(L328&gt;0,N328*100/L328,0)</f>
        <v>9.7298912674142031</v>
      </c>
      <c r="P328" s="151">
        <f t="shared" ref="P328:P336" ca="1" si="149">IF(M328&gt;0,N328*100/M328,0)</f>
        <v>19.459782534828406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0">L332+L335</f>
        <v>0</v>
      </c>
      <c r="M329" s="90">
        <f t="shared" si="150"/>
        <v>0</v>
      </c>
      <c r="N329" s="90">
        <f t="shared" si="150"/>
        <v>0</v>
      </c>
      <c r="O329" s="90">
        <f t="shared" si="148"/>
        <v>0</v>
      </c>
      <c r="P329" s="90">
        <f t="shared" si="149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0"/>
        <v>588600</v>
      </c>
      <c r="M330" s="90">
        <f t="shared" ca="1" si="150"/>
        <v>294300</v>
      </c>
      <c r="N330" s="90">
        <f t="shared" ca="1" si="150"/>
        <v>57270.14</v>
      </c>
      <c r="O330" s="90">
        <f t="shared" ca="1" si="148"/>
        <v>9.7298912674142031</v>
      </c>
      <c r="P330" s="90">
        <f t="shared" ca="1" si="149"/>
        <v>19.459782534828406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1">L332+L333</f>
        <v>588600</v>
      </c>
      <c r="M331" s="495">
        <f t="shared" ca="1" si="151"/>
        <v>294300</v>
      </c>
      <c r="N331" s="495">
        <f t="shared" ca="1" si="151"/>
        <v>57270.14</v>
      </c>
      <c r="O331" s="495">
        <f t="shared" ca="1" si="148"/>
        <v>9.7298912674142031</v>
      </c>
      <c r="P331" s="495">
        <f t="shared" ca="1" si="149"/>
        <v>19.459782534828406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8"/>
        <v>0</v>
      </c>
      <c r="P332" s="90">
        <f t="shared" si="149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IFERROR(__xludf.DUMMYFUNCTION("IMPORTRANGE(""https://docs.google.com/spreadsheets/d/1MeEWN-I1oV_STSDYn1IFDPWt_1FKiwhDph83XaGc0o0/edit?usp=sharing"",""งบพรบ!EM64"")"),588600)</f>
        <v>588600</v>
      </c>
      <c r="M333" s="90">
        <f ca="1">IFERROR(__xludf.DUMMYFUNCTION("IMPORTRANGE(""https://docs.google.com/spreadsheets/d/1MeEWN-I1oV_STSDYn1IFDPWt_1FKiwhDph83XaGc0o0/edit?usp=sharing"",""งบพรบ!ER64"")"),294300)</f>
        <v>294300</v>
      </c>
      <c r="N333" s="90">
        <f ca="1">IFERROR(__xludf.DUMMYFUNCTION("IMPORTRANGE(""https://docs.google.com/spreadsheets/d/1MeEWN-I1oV_STSDYn1IFDPWt_1FKiwhDph83XaGc0o0/edit?usp=sharing"",""งบพรบ!ET64"")"),57270.14)</f>
        <v>57270.14</v>
      </c>
      <c r="O333" s="90">
        <f t="shared" ca="1" si="148"/>
        <v>9.7298912674142031</v>
      </c>
      <c r="P333" s="90">
        <f t="shared" ca="1" si="149"/>
        <v>19.459782534828406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2">L335+L336</f>
        <v>0</v>
      </c>
      <c r="M334" s="495">
        <f t="shared" ca="1" si="152"/>
        <v>0</v>
      </c>
      <c r="N334" s="495">
        <f t="shared" ca="1" si="152"/>
        <v>0</v>
      </c>
      <c r="O334" s="495">
        <f t="shared" ca="1" si="148"/>
        <v>0</v>
      </c>
      <c r="P334" s="495">
        <f t="shared" ca="1" si="149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8"/>
        <v>0</v>
      </c>
      <c r="P335" s="90">
        <f t="shared" si="149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IFERROR(__xludf.DUMMYFUNCTION("IMPORTRANGE(""https://docs.google.com/spreadsheets/d/1MeEWN-I1oV_STSDYn1IFDPWt_1FKiwhDph83XaGc0o0/edit?usp=sharing"",""งบพรบ!EP64"")"),0)</f>
        <v>0</v>
      </c>
      <c r="M336" s="90">
        <f ca="1">IFERROR(__xludf.DUMMYFUNCTION("IMPORTRANGE(""https://docs.google.com/spreadsheets/d/1MeEWN-I1oV_STSDYn1IFDPWt_1FKiwhDph83XaGc0o0/edit?usp=sharing"",""งบพรบ!ES64"")"),0)</f>
        <v>0</v>
      </c>
      <c r="N336" s="90">
        <f ca="1">IFERROR(__xludf.DUMMYFUNCTION("IMPORTRANGE(""https://docs.google.com/spreadsheets/d/1MeEWN-I1oV_STSDYn1IFDPWt_1FKiwhDph83XaGc0o0/edit?usp=sharing"",""งบพรบ!EU64"")"),0)</f>
        <v>0</v>
      </c>
      <c r="O336" s="90">
        <f t="shared" ca="1" si="148"/>
        <v>0</v>
      </c>
      <c r="P336" s="90">
        <f t="shared" ca="1" si="149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IFERROR(__xludf.DUMMYFUNCTION("IMPORTRANGE(""https://docs.google.com/spreadsheets/d/1QqKyyYR6Q21VydFLVH3TRQUabQu_ym0Zz7PgGX0-kHA/edit?usp=sharing"",""แผน!EG64"")"),800)</f>
        <v>800</v>
      </c>
      <c r="J338" s="264">
        <f ca="1">IFERROR(__xludf.DUMMYFUNCTION("IMPORTRANGE(""https://docs.google.com/spreadsheets/d/1kVcqe37tkHyjCSG3S0O1AXqVkqjo8mSIZil3BcpIysc/edit?usp=sharing"",""ศูนย์!D64"")"),85)</f>
        <v>85</v>
      </c>
      <c r="K338" s="495">
        <f ca="1">IF(I338&gt;0,J338*100/I338,0)</f>
        <v>10.625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IFERROR(__xludf.DUMMYFUNCTION("IMPORTRANGE(""https://docs.google.com/spreadsheets/d/1QqKyyYR6Q21VydFLVH3TRQUabQu_ym0Zz7PgGX0-kHA/edit?usp=sharing"",""แผน!EH64"")"),3)</f>
        <v>3</v>
      </c>
      <c r="J340" s="264">
        <f ca="1">IFERROR(__xludf.DUMMYFUNCTION("IMPORTRANGE(""https://docs.google.com/spreadsheets/d/1kVcqe37tkHyjCSG3S0O1AXqVkqjo8mSIZil3BcpIysc/edit?usp=sharing"",""ศูนย์!E64"")"),0)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IFERROR(__xludf.DUMMYFUNCTION("IMPORTRANGE(""https://docs.google.com/spreadsheets/d/1kVcqe37tkHyjCSG3S0O1AXqVkqjo8mSIZil3BcpIysc/edit?usp=sharing"",""ศูนย์!F64"")"),0)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IFERROR(__xludf.DUMMYFUNCTION("IMPORTRANGE(""https://docs.google.com/spreadsheets/d/1kVcqe37tkHyjCSG3S0O1AXqVkqjo8mSIZil3BcpIysc/edit?usp=sharing"",""ศูนย์!G64"")"),0)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IFERROR(__xludf.DUMMYFUNCTION("IMPORTRANGE(""https://docs.google.com/spreadsheets/d/1kVcqe37tkHyjCSG3S0O1AXqVkqjo8mSIZil3BcpIysc/edit?usp=sharing"",""ศูนย์!H64"")"),0)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3">L346+L347</f>
        <v>292110</v>
      </c>
      <c r="M345" s="151">
        <f t="shared" ca="1" si="153"/>
        <v>184060</v>
      </c>
      <c r="N345" s="151">
        <f t="shared" ca="1" si="153"/>
        <v>94451.61</v>
      </c>
      <c r="O345" s="151">
        <f t="shared" ref="O345:O353" ca="1" si="154">IF(L345&gt;0,N345*100/L345,0)</f>
        <v>32.334261066036767</v>
      </c>
      <c r="P345" s="151">
        <f t="shared" ref="P345:P353" ca="1" si="155">IF(M345&gt;0,N345*100/M345,0)</f>
        <v>51.31566337064001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6">L349+L352</f>
        <v>0</v>
      </c>
      <c r="M346" s="90">
        <f t="shared" si="156"/>
        <v>0</v>
      </c>
      <c r="N346" s="90">
        <f t="shared" si="156"/>
        <v>0</v>
      </c>
      <c r="O346" s="90">
        <f t="shared" si="154"/>
        <v>0</v>
      </c>
      <c r="P346" s="90">
        <f t="shared" si="155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6"/>
        <v>292110</v>
      </c>
      <c r="M347" s="90">
        <f t="shared" ca="1" si="156"/>
        <v>184060</v>
      </c>
      <c r="N347" s="90">
        <f t="shared" ca="1" si="156"/>
        <v>94451.61</v>
      </c>
      <c r="O347" s="90">
        <f t="shared" ca="1" si="154"/>
        <v>32.334261066036767</v>
      </c>
      <c r="P347" s="90">
        <f t="shared" ca="1" si="155"/>
        <v>51.31566337064001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7">L349+L350</f>
        <v>216110</v>
      </c>
      <c r="M348" s="495">
        <f t="shared" ca="1" si="157"/>
        <v>108060</v>
      </c>
      <c r="N348" s="495">
        <f t="shared" ca="1" si="157"/>
        <v>18451.61</v>
      </c>
      <c r="O348" s="495">
        <f t="shared" ca="1" si="154"/>
        <v>8.5380639489149051</v>
      </c>
      <c r="P348" s="495">
        <f t="shared" ca="1" si="155"/>
        <v>17.075337775310015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4"/>
        <v>0</v>
      </c>
      <c r="P349" s="90">
        <f t="shared" si="155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IFERROR(__xludf.DUMMYFUNCTION("IMPORTRANGE(""https://docs.google.com/spreadsheets/d/1MeEWN-I1oV_STSDYn1IFDPWt_1FKiwhDph83XaGc0o0/edit?usp=sharing"",""งบพรบ!EW64"")"),216110)</f>
        <v>216110</v>
      </c>
      <c r="M350" s="90">
        <f ca="1">IFERROR(__xludf.DUMMYFUNCTION("IMPORTRANGE(""https://docs.google.com/spreadsheets/d/1MeEWN-I1oV_STSDYn1IFDPWt_1FKiwhDph83XaGc0o0/edit?usp=sharing"",""งบพรบ!FB64"")"),108060)</f>
        <v>108060</v>
      </c>
      <c r="N350" s="90">
        <f ca="1">IFERROR(__xludf.DUMMYFUNCTION("IMPORTRANGE(""https://docs.google.com/spreadsheets/d/1MeEWN-I1oV_STSDYn1IFDPWt_1FKiwhDph83XaGc0o0/edit?usp=sharing"",""งบพรบ!FD64"")"),18451.61)</f>
        <v>18451.61</v>
      </c>
      <c r="O350" s="90">
        <f t="shared" ca="1" si="154"/>
        <v>8.5380639489149051</v>
      </c>
      <c r="P350" s="90">
        <f t="shared" ca="1" si="155"/>
        <v>17.075337775310015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8">L352+L353</f>
        <v>76000</v>
      </c>
      <c r="M351" s="495">
        <f t="shared" ca="1" si="158"/>
        <v>76000</v>
      </c>
      <c r="N351" s="495">
        <f t="shared" ca="1" si="158"/>
        <v>76000</v>
      </c>
      <c r="O351" s="495">
        <f t="shared" ca="1" si="154"/>
        <v>100</v>
      </c>
      <c r="P351" s="495">
        <f t="shared" ca="1" si="155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4"/>
        <v>0</v>
      </c>
      <c r="P352" s="90">
        <f t="shared" si="155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IFERROR(__xludf.DUMMYFUNCTION("IMPORTRANGE(""https://docs.google.com/spreadsheets/d/1MeEWN-I1oV_STSDYn1IFDPWt_1FKiwhDph83XaGc0o0/edit?usp=sharing"",""งบพรบ!EZ64"")"),76000)</f>
        <v>76000</v>
      </c>
      <c r="M353" s="90">
        <f ca="1">IFERROR(__xludf.DUMMYFUNCTION("IMPORTRANGE(""https://docs.google.com/spreadsheets/d/1MeEWN-I1oV_STSDYn1IFDPWt_1FKiwhDph83XaGc0o0/edit?usp=sharing"",""งบพรบ!FC64"")"),76000)</f>
        <v>76000</v>
      </c>
      <c r="N353" s="90">
        <f ca="1">IFERROR(__xludf.DUMMYFUNCTION("IMPORTRANGE(""https://docs.google.com/spreadsheets/d/1MeEWN-I1oV_STSDYn1IFDPWt_1FKiwhDph83XaGc0o0/edit?usp=sharing"",""งบพรบ!FE64"")"),76000)</f>
        <v>76000</v>
      </c>
      <c r="O353" s="90">
        <f t="shared" ca="1" si="154"/>
        <v>100</v>
      </c>
      <c r="P353" s="90">
        <f t="shared" ca="1" si="155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 hidden="1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IFERROR(__xludf.DUMMYFUNCTION("IMPORTRANGE(""https://docs.google.com/spreadsheets/d/1QqKyyYR6Q21VydFLVH3TRQUabQu_ym0Zz7PgGX0-kHA/edit?usp=sharing"",""แผน!EP64"")"),0)</f>
        <v>0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 hidden="1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 hidden="1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 hidden="1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IFERROR(__xludf.DUMMYFUNCTION("IMPORTRANGE(""https://docs.google.com/spreadsheets/d/1XWAQStnk-4SwqDmLtmXYiTMKHgktTP8We1SCoS47DrQ/edit?usp=sharing"",""จัดที่ดิน!W64"")"),0)</f>
        <v>0</v>
      </c>
      <c r="K358" s="495">
        <f t="shared" ref="K358:K365" si="159">IF(I358&gt;0,J358*100/I358,0)</f>
        <v>0</v>
      </c>
      <c r="L358" s="159"/>
      <c r="M358" s="159"/>
      <c r="N358" s="159"/>
      <c r="O358" s="159"/>
      <c r="P358" s="159"/>
    </row>
    <row r="359" spans="1:26" ht="18.75" hidden="1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IFERROR(__xludf.DUMMYFUNCTION("IMPORTRANGE(""https://docs.google.com/spreadsheets/d/1QqKyyYR6Q21VydFLVH3TRQUabQu_ym0Zz7PgGX0-kHA/edit?usp=sharing"",""แผน!EO64"")"),0)</f>
        <v>0</v>
      </c>
      <c r="J359" s="264">
        <f ca="1">IFERROR(__xludf.DUMMYFUNCTION("IMPORTRANGE(""https://docs.google.com/spreadsheets/d/1XWAQStnk-4SwqDmLtmXYiTMKHgktTP8We1SCoS47DrQ/edit?usp=sharing"",""จัดที่ดิน!X64"")"),0)</f>
        <v>0</v>
      </c>
      <c r="K359" s="495">
        <f t="shared" ca="1" si="159"/>
        <v>0</v>
      </c>
      <c r="L359" s="159"/>
      <c r="M359" s="159"/>
      <c r="N359" s="159"/>
      <c r="O359" s="159"/>
      <c r="P359" s="159"/>
    </row>
    <row r="360" spans="1:26" ht="18.75" hidden="1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IFERROR(__xludf.DUMMYFUNCTION("IMPORTRANGE(""https://docs.google.com/spreadsheets/d/1QqKyyYR6Q21VydFLVH3TRQUabQu_ym0Zz7PgGX0-kHA/edit?usp=sharing"",""แผน!EP64"")"),0)</f>
        <v>0</v>
      </c>
      <c r="J360" s="264">
        <f ca="1">IFERROR(__xludf.DUMMYFUNCTION("IMPORTRANGE(""https://docs.google.com/spreadsheets/d/1XWAQStnk-4SwqDmLtmXYiTMKHgktTP8We1SCoS47DrQ/edit?usp=sharing"",""จัดที่ดิน!Y64"")"),0)</f>
        <v>0</v>
      </c>
      <c r="K360" s="495">
        <f t="shared" ca="1" si="159"/>
        <v>0</v>
      </c>
      <c r="L360" s="159"/>
      <c r="M360" s="159"/>
      <c r="N360" s="159"/>
      <c r="O360" s="159"/>
      <c r="P360" s="159"/>
    </row>
    <row r="361" spans="1:26" ht="18.75" hidden="1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IFERROR(__xludf.DUMMYFUNCTION("IMPORTRANGE(""https://docs.google.com/spreadsheets/d/1XWAQStnk-4SwqDmLtmXYiTMKHgktTP8We1SCoS47DrQ/edit?usp=sharing"",""จัดที่ดิน!Z64"")"),0)</f>
        <v>0</v>
      </c>
      <c r="K361" s="495">
        <f t="shared" si="159"/>
        <v>0</v>
      </c>
      <c r="L361" s="159"/>
      <c r="M361" s="159"/>
      <c r="N361" s="159"/>
      <c r="O361" s="159"/>
      <c r="P361" s="159"/>
    </row>
    <row r="362" spans="1:26" ht="18.75" hidden="1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IFERROR(__xludf.DUMMYFUNCTION("IMPORTRANGE(""https://docs.google.com/spreadsheets/d/1QqKyyYR6Q21VydFLVH3TRQUabQu_ym0Zz7PgGX0-kHA/edit?usp=sharing"",""แผน!EP64"")"),0)</f>
        <v>0</v>
      </c>
      <c r="J362" s="264">
        <f ca="1">IFERROR(__xludf.DUMMYFUNCTION("IMPORTRANGE(""https://docs.google.com/spreadsheets/d/1XWAQStnk-4SwqDmLtmXYiTMKHgktTP8We1SCoS47DrQ/edit?usp=sharing"",""จัดที่ดิน!AA64"")"),0)</f>
        <v>0</v>
      </c>
      <c r="K362" s="495">
        <f t="shared" ca="1" si="159"/>
        <v>0</v>
      </c>
      <c r="L362" s="159"/>
      <c r="M362" s="159"/>
      <c r="N362" s="159"/>
      <c r="O362" s="159"/>
      <c r="P362" s="159"/>
    </row>
    <row r="363" spans="1:26" ht="18.75" hidden="1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IFERROR(__xludf.DUMMYFUNCTION("IMPORTRANGE(""https://docs.google.com/spreadsheets/d/1XWAQStnk-4SwqDmLtmXYiTMKHgktTP8We1SCoS47DrQ/edit?usp=sharing"",""จัดที่ดิน!AB64"")"),0)</f>
        <v>0</v>
      </c>
      <c r="K363" s="495">
        <f t="shared" si="159"/>
        <v>0</v>
      </c>
      <c r="L363" s="159"/>
      <c r="M363" s="159"/>
      <c r="N363" s="159"/>
      <c r="O363" s="159"/>
      <c r="P363" s="159"/>
    </row>
    <row r="364" spans="1:26" ht="19.5" hidden="1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0">I365+I374</f>
        <v>0</v>
      </c>
      <c r="J364" s="476">
        <f t="shared" ca="1" si="160"/>
        <v>0</v>
      </c>
      <c r="K364" s="477">
        <f t="shared" ca="1" si="159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 hidden="1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IFERROR(__xludf.DUMMYFUNCTION("IMPORTRANGE(""https://docs.google.com/spreadsheets/d/1QqKyyYR6Q21VydFLVH3TRQUabQu_ym0Zz7PgGX0-kHA/edit?usp=sharing"",""แผน!EJ64"")"),0)</f>
        <v>0</v>
      </c>
      <c r="J365" s="488">
        <f ca="1">J372</f>
        <v>0</v>
      </c>
      <c r="K365" s="489">
        <f t="shared" ca="1" si="159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 hidden="1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 hidden="1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 hidden="1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IFERROR(__xludf.DUMMYFUNCTION("IMPORTRANGE(""https://docs.google.com/spreadsheets/d/1XWAQStnk-4SwqDmLtmXYiTMKHgktTP8We1SCoS47DrQ/edit?usp=sharing"",""จัดที่ดิน!E64"")"),0)</f>
        <v>0</v>
      </c>
      <c r="K368" s="495">
        <f t="shared" ref="K368:K374" si="161">IF(I368&gt;0,J368*100/I368,0)</f>
        <v>0</v>
      </c>
      <c r="L368" s="159"/>
      <c r="M368" s="159"/>
      <c r="N368" s="159"/>
      <c r="O368" s="159"/>
      <c r="P368" s="159"/>
    </row>
    <row r="369" spans="1:26" ht="18.75" hidden="1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IFERROR(__xludf.DUMMYFUNCTION("IMPORTRANGE(""https://docs.google.com/spreadsheets/d/1QqKyyYR6Q21VydFLVH3TRQUabQu_ym0Zz7PgGX0-kHA/edit?usp=sharing"",""แผน!EI64"")"),0)</f>
        <v>0</v>
      </c>
      <c r="J369" s="264">
        <f ca="1">IFERROR(__xludf.DUMMYFUNCTION("IMPORTRANGE(""https://docs.google.com/spreadsheets/d/1XWAQStnk-4SwqDmLtmXYiTMKHgktTP8We1SCoS47DrQ/edit?usp=sharing"",""จัดที่ดิน!F64"")"),0)</f>
        <v>0</v>
      </c>
      <c r="K369" s="495">
        <f t="shared" ca="1" si="161"/>
        <v>0</v>
      </c>
      <c r="L369" s="159"/>
      <c r="M369" s="159"/>
      <c r="N369" s="159"/>
      <c r="O369" s="159"/>
      <c r="P369" s="159"/>
    </row>
    <row r="370" spans="1:26" ht="18.75" hidden="1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IFERROR(__xludf.DUMMYFUNCTION("IMPORTRANGE(""https://docs.google.com/spreadsheets/d/1QqKyyYR6Q21VydFLVH3TRQUabQu_ym0Zz7PgGX0-kHA/edit?usp=sharing"",""แผน!EJ64"")"),0)</f>
        <v>0</v>
      </c>
      <c r="J370" s="264">
        <f ca="1">IFERROR(__xludf.DUMMYFUNCTION("IMPORTRANGE(""https://docs.google.com/spreadsheets/d/1XWAQStnk-4SwqDmLtmXYiTMKHgktTP8We1SCoS47DrQ/edit?usp=sharing"",""จัดที่ดิน!G64"")"),0)</f>
        <v>0</v>
      </c>
      <c r="K370" s="495">
        <f t="shared" ca="1" si="161"/>
        <v>0</v>
      </c>
      <c r="L370" s="159"/>
      <c r="M370" s="159"/>
      <c r="N370" s="159"/>
      <c r="O370" s="159"/>
      <c r="P370" s="159"/>
    </row>
    <row r="371" spans="1:26" ht="18.75" hidden="1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IFERROR(__xludf.DUMMYFUNCTION("IMPORTRANGE(""https://docs.google.com/spreadsheets/d/1XWAQStnk-4SwqDmLtmXYiTMKHgktTP8We1SCoS47DrQ/edit?usp=sharing"",""จัดที่ดิน!H64"")"),0)</f>
        <v>0</v>
      </c>
      <c r="K371" s="495">
        <f t="shared" si="161"/>
        <v>0</v>
      </c>
      <c r="L371" s="159"/>
      <c r="M371" s="159"/>
      <c r="N371" s="159"/>
      <c r="O371" s="159"/>
      <c r="P371" s="159"/>
    </row>
    <row r="372" spans="1:26" ht="18.75" hidden="1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IFERROR(__xludf.DUMMYFUNCTION("IMPORTRANGE(""https://docs.google.com/spreadsheets/d/1QqKyyYR6Q21VydFLVH3TRQUabQu_ym0Zz7PgGX0-kHA/edit?usp=sharing"",""แผน!EJ64"")"),0)</f>
        <v>0</v>
      </c>
      <c r="J372" s="264">
        <f ca="1">IFERROR(__xludf.DUMMYFUNCTION("IMPORTRANGE(""https://docs.google.com/spreadsheets/d/1XWAQStnk-4SwqDmLtmXYiTMKHgktTP8We1SCoS47DrQ/edit?usp=sharing"",""จัดที่ดิน!I64"")"),0)</f>
        <v>0</v>
      </c>
      <c r="K372" s="495">
        <f t="shared" ca="1" si="161"/>
        <v>0</v>
      </c>
      <c r="L372" s="159"/>
      <c r="M372" s="159"/>
      <c r="N372" s="159"/>
      <c r="O372" s="159"/>
      <c r="P372" s="159"/>
    </row>
    <row r="373" spans="1:26" ht="18.75" hidden="1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IFERROR(__xludf.DUMMYFUNCTION("IMPORTRANGE(""https://docs.google.com/spreadsheets/d/1XWAQStnk-4SwqDmLtmXYiTMKHgktTP8We1SCoS47DrQ/edit?usp=sharing"",""จัดที่ดิน!J64"")"),0)</f>
        <v>0</v>
      </c>
      <c r="K373" s="495">
        <f t="shared" si="161"/>
        <v>0</v>
      </c>
      <c r="L373" s="159"/>
      <c r="M373" s="159"/>
      <c r="N373" s="159"/>
      <c r="O373" s="159"/>
      <c r="P373" s="159"/>
    </row>
    <row r="374" spans="1:26" ht="19.5" hidden="1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IFERROR(__xludf.DUMMYFUNCTION("IMPORTRANGE(""https://docs.google.com/spreadsheets/d/1QqKyyYR6Q21VydFLVH3TRQUabQu_ym0Zz7PgGX0-kHA/edit?usp=sharing"",""แผน!EU64"")"),0)</f>
        <v>0</v>
      </c>
      <c r="J374" s="488">
        <f ca="1">J381</f>
        <v>0</v>
      </c>
      <c r="K374" s="489">
        <f t="shared" ca="1" si="161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 hidden="1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 hidden="1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 hidden="1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IFERROR(__xludf.DUMMYFUNCTION("IMPORTRANGE(""https://docs.google.com/spreadsheets/d/1XWAQStnk-4SwqDmLtmXYiTMKHgktTP8We1SCoS47DrQ/edit?usp=sharing"",""จัดที่ดิน!AH64"")"),0)</f>
        <v>0</v>
      </c>
      <c r="K377" s="495">
        <f t="shared" ref="K377:K382" si="162">IF(I377&gt;0,J377*100/I377,0)</f>
        <v>0</v>
      </c>
      <c r="L377" s="159"/>
      <c r="M377" s="159"/>
      <c r="N377" s="159"/>
      <c r="O377" s="159"/>
      <c r="P377" s="159"/>
    </row>
    <row r="378" spans="1:26" ht="18.75" hidden="1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IFERROR(__xludf.DUMMYFUNCTION("IMPORTRANGE(""https://docs.google.com/spreadsheets/d/1QqKyyYR6Q21VydFLVH3TRQUabQu_ym0Zz7PgGX0-kHA/edit?usp=sharing"",""แผน!ET64"")"),0)</f>
        <v>0</v>
      </c>
      <c r="J378" s="264">
        <f ca="1">IFERROR(__xludf.DUMMYFUNCTION("IMPORTRANGE(""https://docs.google.com/spreadsheets/d/1XWAQStnk-4SwqDmLtmXYiTMKHgktTP8We1SCoS47DrQ/edit?usp=sharing"",""จัดที่ดิน!AI64"")"),0)</f>
        <v>0</v>
      </c>
      <c r="K378" s="495">
        <f t="shared" ca="1" si="162"/>
        <v>0</v>
      </c>
      <c r="L378" s="159"/>
      <c r="M378" s="159"/>
      <c r="N378" s="159"/>
      <c r="O378" s="159"/>
      <c r="P378" s="159"/>
    </row>
    <row r="379" spans="1:26" ht="18.75" hidden="1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IFERROR(__xludf.DUMMYFUNCTION("IMPORTRANGE(""https://docs.google.com/spreadsheets/d/1QqKyyYR6Q21VydFLVH3TRQUabQu_ym0Zz7PgGX0-kHA/edit?usp=sharing"",""แผน!EU64"")"),0)</f>
        <v>0</v>
      </c>
      <c r="J379" s="264">
        <f ca="1">IFERROR(__xludf.DUMMYFUNCTION("IMPORTRANGE(""https://docs.google.com/spreadsheets/d/1XWAQStnk-4SwqDmLtmXYiTMKHgktTP8We1SCoS47DrQ/edit?usp=sharing"",""จัดที่ดิน!AJ64"")"),0)</f>
        <v>0</v>
      </c>
      <c r="K379" s="495">
        <f t="shared" ca="1" si="162"/>
        <v>0</v>
      </c>
      <c r="L379" s="159"/>
      <c r="M379" s="159"/>
      <c r="N379" s="159"/>
      <c r="O379" s="159"/>
      <c r="P379" s="159"/>
    </row>
    <row r="380" spans="1:26" ht="18.75" hidden="1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IFERROR(__xludf.DUMMYFUNCTION("IMPORTRANGE(""https://docs.google.com/spreadsheets/d/1XWAQStnk-4SwqDmLtmXYiTMKHgktTP8We1SCoS47DrQ/edit?usp=sharing"",""จัดที่ดิน!AK64"")"),0)</f>
        <v>0</v>
      </c>
      <c r="K380" s="495">
        <f t="shared" si="162"/>
        <v>0</v>
      </c>
      <c r="L380" s="159"/>
      <c r="M380" s="159"/>
      <c r="N380" s="159"/>
      <c r="O380" s="159"/>
      <c r="P380" s="159"/>
    </row>
    <row r="381" spans="1:26" ht="18.75" hidden="1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IFERROR(__xludf.DUMMYFUNCTION("IMPORTRANGE(""https://docs.google.com/spreadsheets/d/1QqKyyYR6Q21VydFLVH3TRQUabQu_ym0Zz7PgGX0-kHA/edit?usp=sharing"",""แผน!EU64"")"),0)</f>
        <v>0</v>
      </c>
      <c r="J381" s="264">
        <f ca="1">IFERROR(__xludf.DUMMYFUNCTION("IMPORTRANGE(""https://docs.google.com/spreadsheets/d/1XWAQStnk-4SwqDmLtmXYiTMKHgktTP8We1SCoS47DrQ/edit?usp=sharing"",""จัดที่ดิน!AL64"")"),0)</f>
        <v>0</v>
      </c>
      <c r="K381" s="495">
        <f t="shared" ca="1" si="162"/>
        <v>0</v>
      </c>
      <c r="L381" s="159"/>
      <c r="M381" s="159"/>
      <c r="N381" s="159"/>
      <c r="O381" s="159"/>
      <c r="P381" s="159"/>
    </row>
    <row r="382" spans="1:26" ht="18.75" hidden="1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IFERROR(__xludf.DUMMYFUNCTION("IMPORTRANGE(""https://docs.google.com/spreadsheets/d/1XWAQStnk-4SwqDmLtmXYiTMKHgktTP8We1SCoS47DrQ/edit?usp=sharing"",""จัดที่ดิน!AM64"")"),0)</f>
        <v>0</v>
      </c>
      <c r="K382" s="495">
        <f t="shared" si="162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IFERROR(__xludf.DUMMYFUNCTION("IMPORTRANGE(""https://docs.google.com/spreadsheets/d/1QqKyyYR6Q21VydFLVH3TRQUabQu_ym0Zz7PgGX0-kHA/edit?usp=sharing"",""แผน!EW64"")"),25)</f>
        <v>25</v>
      </c>
      <c r="J385" s="498">
        <f ca="1">IFERROR(__xludf.DUMMYFUNCTION("IMPORTRANGE(""https://docs.google.com/spreadsheets/d/1XWAQStnk-4SwqDmLtmXYiTMKHgktTP8We1SCoS47DrQ/edit?usp=sharing"",""จัดที่ดิน!AP64"")"),0)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3">I400</f>
        <v>0</v>
      </c>
      <c r="J388" s="519">
        <f t="shared" si="163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4">L390+L391</f>
        <v>0</v>
      </c>
      <c r="M389" s="151">
        <f t="shared" ca="1" si="164"/>
        <v>0</v>
      </c>
      <c r="N389" s="151">
        <f t="shared" ca="1" si="164"/>
        <v>0</v>
      </c>
      <c r="O389" s="151">
        <f t="shared" ref="O389:O397" ca="1" si="165">IF(L389&gt;0,N389*100/L389,0)</f>
        <v>0</v>
      </c>
      <c r="P389" s="151">
        <f t="shared" ref="P389:P397" ca="1" si="1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7">L393+L396</f>
        <v>0</v>
      </c>
      <c r="M390" s="90">
        <f t="shared" si="167"/>
        <v>0</v>
      </c>
      <c r="N390" s="90">
        <f t="shared" si="167"/>
        <v>0</v>
      </c>
      <c r="O390" s="90">
        <f t="shared" si="165"/>
        <v>0</v>
      </c>
      <c r="P390" s="90">
        <f t="shared" si="1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7"/>
        <v>0</v>
      </c>
      <c r="M391" s="90">
        <f t="shared" ca="1" si="167"/>
        <v>0</v>
      </c>
      <c r="N391" s="90">
        <f t="shared" ca="1" si="167"/>
        <v>0</v>
      </c>
      <c r="O391" s="90">
        <f t="shared" ca="1" si="165"/>
        <v>0</v>
      </c>
      <c r="P391" s="90">
        <f t="shared" ca="1" si="1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8">L393+L394</f>
        <v>0</v>
      </c>
      <c r="M392" s="495">
        <f t="shared" ca="1" si="168"/>
        <v>0</v>
      </c>
      <c r="N392" s="495">
        <f t="shared" ca="1" si="168"/>
        <v>0</v>
      </c>
      <c r="O392" s="495">
        <f t="shared" ca="1" si="165"/>
        <v>0</v>
      </c>
      <c r="P392" s="495">
        <f t="shared" ca="1" si="1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5"/>
        <v>0</v>
      </c>
      <c r="P393" s="90">
        <f t="shared" si="1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IFERROR(__xludf.DUMMYFUNCTION("IMPORTRANGE(""https://docs.google.com/spreadsheets/d/1MeEWN-I1oV_STSDYn1IFDPWt_1FKiwhDph83XaGc0o0/edit?usp=sharing"",""งบพรบ!FG64"")"),0)</f>
        <v>0</v>
      </c>
      <c r="M394" s="90">
        <f ca="1">IFERROR(__xludf.DUMMYFUNCTION("IMPORTRANGE(""https://docs.google.com/spreadsheets/d/1MeEWN-I1oV_STSDYn1IFDPWt_1FKiwhDph83XaGc0o0/edit?usp=sharing"",""งบพรบ!FL64"")"),0)</f>
        <v>0</v>
      </c>
      <c r="N394" s="90">
        <f ca="1">IFERROR(__xludf.DUMMYFUNCTION("IMPORTRANGE(""https://docs.google.com/spreadsheets/d/1MeEWN-I1oV_STSDYn1IFDPWt_1FKiwhDph83XaGc0o0/edit?usp=sharing"",""งบพรบ!FN64"")"),0)</f>
        <v>0</v>
      </c>
      <c r="O394" s="90">
        <f t="shared" ca="1" si="165"/>
        <v>0</v>
      </c>
      <c r="P394" s="90">
        <f t="shared" ca="1" si="1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69">L396+L397</f>
        <v>0</v>
      </c>
      <c r="M395" s="495">
        <f t="shared" ca="1" si="169"/>
        <v>0</v>
      </c>
      <c r="N395" s="495">
        <f t="shared" ca="1" si="169"/>
        <v>0</v>
      </c>
      <c r="O395" s="495">
        <f t="shared" ca="1" si="165"/>
        <v>0</v>
      </c>
      <c r="P395" s="495">
        <f t="shared" ca="1" si="1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5"/>
        <v>0</v>
      </c>
      <c r="P396" s="90">
        <f t="shared" si="1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IFERROR(__xludf.DUMMYFUNCTION("IMPORTRANGE(""https://docs.google.com/spreadsheets/d/1MeEWN-I1oV_STSDYn1IFDPWt_1FKiwhDph83XaGc0o0/edit?usp=sharing"",""งบพรบ!FJ64"")"),0)</f>
        <v>0</v>
      </c>
      <c r="M397" s="90">
        <f ca="1">IFERROR(__xludf.DUMMYFUNCTION("IMPORTRANGE(""https://docs.google.com/spreadsheets/d/1MeEWN-I1oV_STSDYn1IFDPWt_1FKiwhDph83XaGc0o0/edit?usp=sharing"",""งบพรบ!FM64"")"),0)</f>
        <v>0</v>
      </c>
      <c r="N397" s="90">
        <f ca="1">IFERROR(__xludf.DUMMYFUNCTION("IMPORTRANGE(""https://docs.google.com/spreadsheets/d/1MeEWN-I1oV_STSDYn1IFDPWt_1FKiwhDph83XaGc0o0/edit?usp=sharing"",""งบพรบ!FO64"")"),0)</f>
        <v>0</v>
      </c>
      <c r="O397" s="90">
        <f t="shared" ca="1" si="165"/>
        <v>0</v>
      </c>
      <c r="P397" s="90">
        <f t="shared" ca="1" si="1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0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0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1">I412</f>
        <v>0</v>
      </c>
      <c r="J401" s="519">
        <f t="shared" si="171"/>
        <v>0</v>
      </c>
      <c r="K401" s="520">
        <f t="shared" si="170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2">L403+L404</f>
        <v>0</v>
      </c>
      <c r="M402" s="151">
        <f t="shared" ca="1" si="172"/>
        <v>0</v>
      </c>
      <c r="N402" s="151">
        <f t="shared" ca="1" si="172"/>
        <v>0</v>
      </c>
      <c r="O402" s="151">
        <f t="shared" ref="O402:O410" ca="1" si="173">IF(L402&gt;0,N402*100/L402,0)</f>
        <v>0</v>
      </c>
      <c r="P402" s="151">
        <f t="shared" ref="P402:P410" ca="1" si="174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5">L406+L409</f>
        <v>0</v>
      </c>
      <c r="M403" s="90">
        <f t="shared" si="175"/>
        <v>0</v>
      </c>
      <c r="N403" s="90">
        <f t="shared" si="175"/>
        <v>0</v>
      </c>
      <c r="O403" s="90">
        <f t="shared" si="173"/>
        <v>0</v>
      </c>
      <c r="P403" s="90">
        <f t="shared" si="174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5"/>
        <v>0</v>
      </c>
      <c r="M404" s="90">
        <f t="shared" ca="1" si="175"/>
        <v>0</v>
      </c>
      <c r="N404" s="90">
        <f t="shared" ca="1" si="175"/>
        <v>0</v>
      </c>
      <c r="O404" s="90">
        <f t="shared" ca="1" si="173"/>
        <v>0</v>
      </c>
      <c r="P404" s="90">
        <f t="shared" ca="1" si="174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6">L406+L407</f>
        <v>0</v>
      </c>
      <c r="M405" s="495">
        <f t="shared" ca="1" si="176"/>
        <v>0</v>
      </c>
      <c r="N405" s="495">
        <f t="shared" ca="1" si="176"/>
        <v>0</v>
      </c>
      <c r="O405" s="495">
        <f t="shared" ca="1" si="173"/>
        <v>0</v>
      </c>
      <c r="P405" s="495">
        <f t="shared" ca="1" si="174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3"/>
        <v>0</v>
      </c>
      <c r="P406" s="90">
        <f t="shared" si="174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IFERROR(__xludf.DUMMYFUNCTION("IMPORTRANGE(""https://docs.google.com/spreadsheets/d/1MeEWN-I1oV_STSDYn1IFDPWt_1FKiwhDph83XaGc0o0/edit?usp=sharing"",""งบพรบ!FQ64"")"),0)</f>
        <v>0</v>
      </c>
      <c r="M407" s="90">
        <f ca="1">IFERROR(__xludf.DUMMYFUNCTION("IMPORTRANGE(""https://docs.google.com/spreadsheets/d/1MeEWN-I1oV_STSDYn1IFDPWt_1FKiwhDph83XaGc0o0/edit?usp=sharing"",""งบพรบ!FV64"")"),0)</f>
        <v>0</v>
      </c>
      <c r="N407" s="90">
        <f ca="1">IFERROR(__xludf.DUMMYFUNCTION("IMPORTRANGE(""https://docs.google.com/spreadsheets/d/1MeEWN-I1oV_STSDYn1IFDPWt_1FKiwhDph83XaGc0o0/edit?usp=sharing"",""งบพรบ!FX64"")"),0)</f>
        <v>0</v>
      </c>
      <c r="O407" s="90">
        <f t="shared" ca="1" si="173"/>
        <v>0</v>
      </c>
      <c r="P407" s="90">
        <f t="shared" ca="1" si="174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7">L409+L410</f>
        <v>0</v>
      </c>
      <c r="M408" s="495">
        <f t="shared" ca="1" si="177"/>
        <v>0</v>
      </c>
      <c r="N408" s="495">
        <f t="shared" ca="1" si="177"/>
        <v>0</v>
      </c>
      <c r="O408" s="495">
        <f t="shared" ca="1" si="173"/>
        <v>0</v>
      </c>
      <c r="P408" s="495">
        <f t="shared" ca="1" si="174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3"/>
        <v>0</v>
      </c>
      <c r="P409" s="90">
        <f t="shared" si="174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IFERROR(__xludf.DUMMYFUNCTION("IMPORTRANGE(""https://docs.google.com/spreadsheets/d/1MeEWN-I1oV_STSDYn1IFDPWt_1FKiwhDph83XaGc0o0/edit?usp=sharing"",""งบพรบ!FT64"")"),0)</f>
        <v>0</v>
      </c>
      <c r="M410" s="90">
        <f ca="1">IFERROR(__xludf.DUMMYFUNCTION("IMPORTRANGE(""https://docs.google.com/spreadsheets/d/1MeEWN-I1oV_STSDYn1IFDPWt_1FKiwhDph83XaGc0o0/edit?usp=sharing"",""งบพรบ!FW64"")"),0)</f>
        <v>0</v>
      </c>
      <c r="N410" s="90">
        <f ca="1">IFERROR(__xludf.DUMMYFUNCTION("IMPORTRANGE(""https://docs.google.com/spreadsheets/d/1MeEWN-I1oV_STSDYn1IFDPWt_1FKiwhDph83XaGc0o0/edit?usp=sharing"",""งบพรบ!FY64"")"),0)</f>
        <v>0</v>
      </c>
      <c r="O410" s="90">
        <f t="shared" ca="1" si="173"/>
        <v>0</v>
      </c>
      <c r="P410" s="90">
        <f t="shared" ca="1" si="174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8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8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79">L419+L444+L467+L502+L523+L544+L629+L655+L685+L737+L754+L770+L786+L805</f>
        <v>468300</v>
      </c>
      <c r="M414" s="546">
        <f t="shared" si="179"/>
        <v>0</v>
      </c>
      <c r="N414" s="546">
        <f t="shared" si="179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0">I433</f>
        <v>60</v>
      </c>
      <c r="J417" s="562">
        <f t="shared" ca="1" si="180"/>
        <v>0</v>
      </c>
      <c r="K417" s="563">
        <f t="shared" ref="K417:K418" ca="1" si="181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0"/>
        <v>2</v>
      </c>
      <c r="J418" s="562">
        <f t="shared" si="180"/>
        <v>1</v>
      </c>
      <c r="K418" s="563">
        <f t="shared" ca="1" si="181"/>
        <v>50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2">L420+L421</f>
        <v>188600</v>
      </c>
      <c r="M419" s="151">
        <f t="shared" si="182"/>
        <v>0</v>
      </c>
      <c r="N419" s="151">
        <f t="shared" si="182"/>
        <v>0</v>
      </c>
      <c r="O419" s="151">
        <f t="shared" ref="O419:O424" ca="1" si="183">IF(L419&gt;0,N419*100/L419,0)</f>
        <v>0</v>
      </c>
      <c r="P419" s="151">
        <f t="shared" ref="P419:P424" si="184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5">L423+L430</f>
        <v>0</v>
      </c>
      <c r="M420" s="90">
        <f t="shared" si="185"/>
        <v>0</v>
      </c>
      <c r="N420" s="90">
        <f t="shared" si="185"/>
        <v>0</v>
      </c>
      <c r="O420" s="90">
        <f t="shared" si="183"/>
        <v>0</v>
      </c>
      <c r="P420" s="90">
        <f t="shared" si="184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5"/>
        <v>188600</v>
      </c>
      <c r="M421" s="90">
        <f t="shared" si="185"/>
        <v>0</v>
      </c>
      <c r="N421" s="90">
        <f t="shared" si="185"/>
        <v>0</v>
      </c>
      <c r="O421" s="90">
        <f t="shared" ca="1" si="183"/>
        <v>0</v>
      </c>
      <c r="P421" s="90">
        <f t="shared" si="184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6">L423+L424</f>
        <v>188600</v>
      </c>
      <c r="M422" s="495">
        <f t="shared" si="186"/>
        <v>0</v>
      </c>
      <c r="N422" s="495">
        <f t="shared" si="186"/>
        <v>0</v>
      </c>
      <c r="O422" s="495">
        <f t="shared" ca="1" si="183"/>
        <v>0</v>
      </c>
      <c r="P422" s="495">
        <f t="shared" si="184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3"/>
        <v>0</v>
      </c>
      <c r="P423" s="90">
        <f t="shared" si="184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IFERROR(__xludf.DUMMYFUNCTION("IMPORTRANGE(""https://docs.google.com/spreadsheets/d/1QqKyyYR6Q21VydFLVH3TRQUabQu_ym0Zz7PgGX0-kHA/edit?usp=sharing"",""แผน!EY64"")"),188600)</f>
        <v>188600</v>
      </c>
      <c r="M424" s="90">
        <v>0</v>
      </c>
      <c r="N424" s="90">
        <f>N425+N426+N427+N428</f>
        <v>0</v>
      </c>
      <c r="O424" s="90">
        <f t="shared" ca="1" si="183"/>
        <v>0</v>
      </c>
      <c r="P424" s="90">
        <f t="shared" si="184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7">L430+L431</f>
        <v>0</v>
      </c>
      <c r="M429" s="495">
        <f t="shared" si="187"/>
        <v>0</v>
      </c>
      <c r="N429" s="495">
        <f t="shared" si="187"/>
        <v>0</v>
      </c>
      <c r="O429" s="495">
        <f t="shared" ref="O429:O431" ca="1" si="188">IF(L429&gt;0,N429*100/L429,0)</f>
        <v>0</v>
      </c>
      <c r="P429" s="495">
        <f t="shared" ref="P429:P431" si="189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8"/>
        <v>0</v>
      </c>
      <c r="P430" s="90">
        <f t="shared" si="189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IFERROR(__xludf.DUMMYFUNCTION("IMPORTRANGE(""https://docs.google.com/spreadsheets/d/1QqKyyYR6Q21VydFLVH3TRQUabQu_ym0Zz7PgGX0-kHA/edit?usp=sharing"",""แผน!FB64"")"),0)</f>
        <v>0</v>
      </c>
      <c r="M431" s="90">
        <v>0</v>
      </c>
      <c r="N431" s="90">
        <v>0</v>
      </c>
      <c r="O431" s="90">
        <f t="shared" ca="1" si="188"/>
        <v>0</v>
      </c>
      <c r="P431" s="90">
        <f t="shared" si="189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60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0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1">I438+I440</f>
        <v>2</v>
      </c>
      <c r="J434" s="673">
        <f t="shared" si="191"/>
        <v>1</v>
      </c>
      <c r="K434" s="191">
        <f t="shared" ca="1" si="190"/>
        <v>50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IFERROR(__xludf.DUMMYFUNCTION("IMPORTRANGE(""https://docs.google.com/spreadsheets/d/1QqKyyYR6Q21VydFLVH3TRQUabQu_ym0Zz7PgGX0-kHA/edit?usp=sharing"",""แผน!FC64"")"),60)</f>
        <v>60</v>
      </c>
      <c r="J435" s="576">
        <v>60</v>
      </c>
      <c r="K435" s="495">
        <f t="shared" ca="1" si="190"/>
        <v>100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IFERROR(__xludf.DUMMYFUNCTION("IMPORTRANGE(""https://docs.google.com/spreadsheets/d/1QqKyyYR6Q21VydFLVH3TRQUabQu_ym0Zz7PgGX0-kHA/edit?usp=sharing"",""แผน!FD64"")"),40)</f>
        <v>40</v>
      </c>
      <c r="J437" s="576">
        <v>40</v>
      </c>
      <c r="K437" s="495">
        <f t="shared" ref="K437:K443" ca="1" si="192">IF(I437&gt;0,J437*100/I437,0)</f>
        <v>100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IFERROR(__xludf.DUMMYFUNCTION("IMPORTRANGE(""https://docs.google.com/spreadsheets/d/1QqKyyYR6Q21VydFLVH3TRQUabQu_ym0Zz7PgGX0-kHA/edit?usp=sharing"",""แผน!FE64"")"),1)</f>
        <v>1</v>
      </c>
      <c r="J438" s="210">
        <v>1</v>
      </c>
      <c r="K438" s="495">
        <f t="shared" ca="1" si="192"/>
        <v>100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IFERROR(__xludf.DUMMYFUNCTION("IMPORTRANGE(""https://docs.google.com/spreadsheets/d/1QqKyyYR6Q21VydFLVH3TRQUabQu_ym0Zz7PgGX0-kHA/edit?usp=sharing"",""แผน!FF64"")"),20)</f>
        <v>20</v>
      </c>
      <c r="J439" s="576">
        <v>0</v>
      </c>
      <c r="K439" s="495">
        <f t="shared" ca="1" si="192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IFERROR(__xludf.DUMMYFUNCTION("IMPORTRANGE(""https://docs.google.com/spreadsheets/d/1QqKyyYR6Q21VydFLVH3TRQUabQu_ym0Zz7PgGX0-kHA/edit?usp=sharing"",""แผน!FG64"")"),1)</f>
        <v>1</v>
      </c>
      <c r="J440" s="210">
        <v>0</v>
      </c>
      <c r="K440" s="495">
        <f t="shared" ca="1" si="192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IFERROR(__xludf.DUMMYFUNCTION("IMPORTRANGE(""https://docs.google.com/spreadsheets/d/1QqKyyYR6Q21VydFLVH3TRQUabQu_ym0Zz7PgGX0-kHA/edit?usp=sharing"",""แผน!FH64"")"),0)</f>
        <v>0</v>
      </c>
      <c r="J441" s="264">
        <v>0</v>
      </c>
      <c r="K441" s="495">
        <f t="shared" ca="1" si="192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3">I460</f>
        <v>0</v>
      </c>
      <c r="J442" s="582">
        <f t="shared" si="193"/>
        <v>0</v>
      </c>
      <c r="K442" s="583">
        <f t="shared" ca="1" si="192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4">I462</f>
        <v>0</v>
      </c>
      <c r="J443" s="562">
        <f t="shared" si="194"/>
        <v>0</v>
      </c>
      <c r="K443" s="563">
        <f t="shared" ca="1" si="192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5">L445+L446</f>
        <v>0</v>
      </c>
      <c r="M444" s="191">
        <f t="shared" si="195"/>
        <v>0</v>
      </c>
      <c r="N444" s="191">
        <f t="shared" si="195"/>
        <v>0</v>
      </c>
      <c r="O444" s="191">
        <f t="shared" ref="O444:O449" ca="1" si="196">IF(L444&gt;0,N444*100/L444,0)</f>
        <v>0</v>
      </c>
      <c r="P444" s="191">
        <f t="shared" ref="P444:P449" si="197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8">L448+L455</f>
        <v>0</v>
      </c>
      <c r="M445" s="90">
        <f t="shared" si="198"/>
        <v>0</v>
      </c>
      <c r="N445" s="90">
        <f t="shared" si="198"/>
        <v>0</v>
      </c>
      <c r="O445" s="90">
        <f t="shared" si="196"/>
        <v>0</v>
      </c>
      <c r="P445" s="90">
        <f t="shared" si="197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8"/>
        <v>0</v>
      </c>
      <c r="M446" s="90">
        <f t="shared" si="198"/>
        <v>0</v>
      </c>
      <c r="N446" s="90">
        <f t="shared" si="198"/>
        <v>0</v>
      </c>
      <c r="O446" s="90">
        <f t="shared" ca="1" si="196"/>
        <v>0</v>
      </c>
      <c r="P446" s="90">
        <f t="shared" si="197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199">L448+L449</f>
        <v>0</v>
      </c>
      <c r="M447" s="495">
        <f t="shared" si="199"/>
        <v>0</v>
      </c>
      <c r="N447" s="495">
        <f t="shared" si="199"/>
        <v>0</v>
      </c>
      <c r="O447" s="495">
        <f t="shared" ca="1" si="196"/>
        <v>0</v>
      </c>
      <c r="P447" s="495">
        <f t="shared" si="197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6"/>
        <v>0</v>
      </c>
      <c r="P448" s="90">
        <f t="shared" si="197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IFERROR(__xludf.DUMMYFUNCTION("IMPORTRANGE(""https://docs.google.com/spreadsheets/d/1QqKyyYR6Q21VydFLVH3TRQUabQu_ym0Zz7PgGX0-kHA/edit?usp=sharing"",""แผน!FJ64"")"),0)</f>
        <v>0</v>
      </c>
      <c r="M449" s="90">
        <v>0</v>
      </c>
      <c r="N449" s="90">
        <f>N450+N451+N452+N453</f>
        <v>0</v>
      </c>
      <c r="O449" s="90">
        <f t="shared" ca="1" si="196"/>
        <v>0</v>
      </c>
      <c r="P449" s="90">
        <f t="shared" si="197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0">L455+L456</f>
        <v>0</v>
      </c>
      <c r="M454" s="495">
        <f t="shared" si="200"/>
        <v>0</v>
      </c>
      <c r="N454" s="495">
        <f t="shared" si="200"/>
        <v>0</v>
      </c>
      <c r="O454" s="495">
        <f t="shared" ref="O454:O456" ca="1" si="201">IF(L454&gt;0,N454*100/L454,0)</f>
        <v>0</v>
      </c>
      <c r="P454" s="495">
        <f t="shared" ref="P454:P456" si="202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1"/>
        <v>0</v>
      </c>
      <c r="P455" s="90">
        <f t="shared" si="202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IFERROR(__xludf.DUMMYFUNCTION("IMPORTRANGE(""https://docs.google.com/spreadsheets/d/1QqKyyYR6Q21VydFLVH3TRQUabQu_ym0Zz7PgGX0-kHA/edit?usp=sharing"",""แผน!FM64"")"),0)</f>
        <v>0</v>
      </c>
      <c r="M456" s="90">
        <v>0</v>
      </c>
      <c r="N456" s="90">
        <v>0</v>
      </c>
      <c r="O456" s="90">
        <f t="shared" ca="1" si="201"/>
        <v>0</v>
      </c>
      <c r="P456" s="90">
        <f t="shared" si="202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IFERROR(__xludf.DUMMYFUNCTION("IMPORTRANGE(""https://docs.google.com/spreadsheets/d/1QqKyyYR6Q21VydFLVH3TRQUabQu_ym0Zz7PgGX0-kHA/edit?usp=sharing"",""แผน!FN64"")"),0)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IFERROR(__xludf.DUMMYFUNCTION("IMPORTRANGE(""https://docs.google.com/spreadsheets/d/1QqKyyYR6Q21VydFLVH3TRQUabQu_ym0Zz7PgGX0-kHA/edit?usp=sharing"",""แผน!FO64"")"),0)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IFERROR(__xludf.DUMMYFUNCTION("IMPORTRANGE(""https://docs.google.com/spreadsheets/d/1QqKyyYR6Q21VydFLVH3TRQUabQu_ym0Zz7PgGX0-kHA/edit?usp=sharing"",""แผน!FO64"")"),0)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IFERROR(__xludf.DUMMYFUNCTION("IMPORTRANGE(""https://docs.google.com/spreadsheets/d/1QqKyyYR6Q21VydFLVH3TRQUabQu_ym0Zz7PgGX0-kHA/edit?usp=sharing"",""แผน!FN64"")"),0)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 hidden="1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IFERROR(__xludf.DUMMYFUNCTION("IMPORTRANGE(""https://docs.google.com/spreadsheets/d/1QqKyyYR6Q21VydFLVH3TRQUabQu_ym0Zz7PgGX0-kHA/edit?usp=sharing"",""แผน!FX64"")"),0)</f>
        <v>0</v>
      </c>
      <c r="J465" s="582">
        <f>J485+J489+J492</f>
        <v>0</v>
      </c>
      <c r="K465" s="583">
        <f t="shared" ref="K465:K466" ca="1" si="203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 hidden="1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IFERROR(__xludf.DUMMYFUNCTION("IMPORTRANGE(""https://docs.google.com/spreadsheets/d/1QqKyyYR6Q21VydFLVH3TRQUabQu_ym0Zz7PgGX0-kHA/edit?usp=sharing"",""แผน!FW64"")"),0)</f>
        <v>0</v>
      </c>
      <c r="J466" s="562">
        <f>J483+J487</f>
        <v>0</v>
      </c>
      <c r="K466" s="563">
        <f t="shared" ca="1" si="203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 hidden="1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4">L468+L469</f>
        <v>0</v>
      </c>
      <c r="M467" s="191">
        <f t="shared" si="204"/>
        <v>0</v>
      </c>
      <c r="N467" s="191">
        <f t="shared" si="204"/>
        <v>0</v>
      </c>
      <c r="O467" s="191">
        <f t="shared" ref="O467:O472" ca="1" si="205">IF(L467&gt;0,N467*100/L467,0)</f>
        <v>0</v>
      </c>
      <c r="P467" s="191">
        <f t="shared" ref="P467:P472" si="206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7">L471+L478</f>
        <v>0</v>
      </c>
      <c r="M468" s="90">
        <f t="shared" si="207"/>
        <v>0</v>
      </c>
      <c r="N468" s="90">
        <f t="shared" si="207"/>
        <v>0</v>
      </c>
      <c r="O468" s="90">
        <f t="shared" si="205"/>
        <v>0</v>
      </c>
      <c r="P468" s="90">
        <f t="shared" si="206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7"/>
        <v>0</v>
      </c>
      <c r="M469" s="90">
        <f t="shared" si="207"/>
        <v>0</v>
      </c>
      <c r="N469" s="90">
        <f t="shared" si="207"/>
        <v>0</v>
      </c>
      <c r="O469" s="90">
        <f t="shared" ca="1" si="205"/>
        <v>0</v>
      </c>
      <c r="P469" s="90">
        <f t="shared" si="206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 hidden="1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8">L471+L472</f>
        <v>0</v>
      </c>
      <c r="M470" s="495">
        <f t="shared" si="208"/>
        <v>0</v>
      </c>
      <c r="N470" s="495">
        <f t="shared" si="208"/>
        <v>0</v>
      </c>
      <c r="O470" s="495">
        <f t="shared" ca="1" si="205"/>
        <v>0</v>
      </c>
      <c r="P470" s="495">
        <f t="shared" si="206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5"/>
        <v>0</v>
      </c>
      <c r="P471" s="90">
        <f t="shared" si="206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IFERROR(__xludf.DUMMYFUNCTION("IMPORTRANGE(""https://docs.google.com/spreadsheets/d/1QqKyyYR6Q21VydFLVH3TRQUabQu_ym0Zz7PgGX0-kHA/edit?usp=sharing"",""แผน!FS64"")"),0)</f>
        <v>0</v>
      </c>
      <c r="M472" s="90">
        <v>0</v>
      </c>
      <c r="N472" s="90">
        <f>N473+N474+N475+N476</f>
        <v>0</v>
      </c>
      <c r="O472" s="90">
        <f t="shared" ca="1" si="205"/>
        <v>0</v>
      </c>
      <c r="P472" s="90">
        <f t="shared" si="206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 hidden="1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 hidden="1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 hidden="1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 hidden="1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 hidden="1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09">L478+L479</f>
        <v>0</v>
      </c>
      <c r="M477" s="495">
        <f t="shared" si="209"/>
        <v>0</v>
      </c>
      <c r="N477" s="495">
        <f t="shared" si="209"/>
        <v>0</v>
      </c>
      <c r="O477" s="495">
        <f t="shared" ref="O477:O479" ca="1" si="210">IF(L477&gt;0,N477*100/L477,0)</f>
        <v>0</v>
      </c>
      <c r="P477" s="495">
        <f t="shared" ref="P477:P479" si="211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0"/>
        <v>0</v>
      </c>
      <c r="P478" s="90">
        <f t="shared" si="211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IFERROR(__xludf.DUMMYFUNCTION("IMPORTRANGE(""https://docs.google.com/spreadsheets/d/1QqKyyYR6Q21VydFLVH3TRQUabQu_ym0Zz7PgGX0-kHA/edit?usp=sharing"",""แผน!FV64"")"),0)</f>
        <v>0</v>
      </c>
      <c r="M479" s="90">
        <v>0</v>
      </c>
      <c r="N479" s="90">
        <v>0</v>
      </c>
      <c r="O479" s="90">
        <f t="shared" ca="1" si="210"/>
        <v>0</v>
      </c>
      <c r="P479" s="90">
        <f t="shared" si="211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 hidden="1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 hidden="1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 hidden="1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 hidden="1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IFERROR(__xludf.DUMMYFUNCTION("IMPORTRANGE(""https://docs.google.com/spreadsheets/d/1QqKyyYR6Q21VydFLVH3TRQUabQu_ym0Zz7PgGX0-kHA/edit?usp=sharing"",""แผน!FY64"")"),0)</f>
        <v>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 hidden="1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 hidden="1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IFERROR(__xludf.DUMMYFUNCTION("IMPORTRANGE(""https://docs.google.com/spreadsheets/d/1QqKyyYR6Q21VydFLVH3TRQUabQu_ym0Zz7PgGX0-kHA/edit?usp=sharing"",""แผน!FZ64"")"),0)</f>
        <v>0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 hidden="1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 hidden="1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IFERROR(__xludf.DUMMYFUNCTION("IMPORTRANGE(""https://docs.google.com/spreadsheets/d/1QqKyyYR6Q21VydFLVH3TRQUabQu_ym0Zz7PgGX0-kHA/edit?usp=sharing"",""แผน!GA64"")"),0)</f>
        <v>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 hidden="1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 hidden="1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IFERROR(__xludf.DUMMYFUNCTION("IMPORTRANGE(""https://docs.google.com/spreadsheets/d/1QqKyyYR6Q21VydFLVH3TRQUabQu_ym0Zz7PgGX0-kHA/edit?usp=sharing"",""แผน!GB64"")"),0)</f>
        <v>0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 hidden="1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 hidden="1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 hidden="1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IFERROR(__xludf.DUMMYFUNCTION("IMPORTRANGE(""https://docs.google.com/spreadsheets/d/1QqKyyYR6Q21VydFLVH3TRQUabQu_ym0Zz7PgGX0-kHA/edit?usp=sharing"",""แผน!GC64"")"),0)</f>
        <v>0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 hidden="1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 hidden="1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 hidden="1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IFERROR(__xludf.DUMMYFUNCTION("IMPORTRANGE(""https://docs.google.com/spreadsheets/d/1QqKyyYR6Q21VydFLVH3TRQUabQu_ym0Zz7PgGX0-kHA/edit?usp=sharing"",""แผน!FY64"")"),0)</f>
        <v>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 hidden="1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 hidden="1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 hidden="1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IFERROR(__xludf.DUMMYFUNCTION("IMPORTRANGE(""https://docs.google.com/spreadsheets/d/1QqKyyYR6Q21VydFLVH3TRQUabQu_ym0Zz7PgGX0-kHA/edit?usp=sharing"",""แผน!GA64"")"),0)</f>
        <v>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 hidden="1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2">J516</f>
        <v>0</v>
      </c>
      <c r="K500" s="626">
        <f t="shared" ref="K500:K501" si="213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2"/>
        <v>0</v>
      </c>
      <c r="K501" s="635">
        <f t="shared" si="213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4">L503+L504</f>
        <v>0</v>
      </c>
      <c r="M502" s="639">
        <f t="shared" si="214"/>
        <v>0</v>
      </c>
      <c r="N502" s="639">
        <f t="shared" si="214"/>
        <v>0</v>
      </c>
      <c r="O502" s="639">
        <f t="shared" ref="O502:O507" si="215">IF(L502&gt;0,N502*100/L502,0)</f>
        <v>0</v>
      </c>
      <c r="P502" s="639">
        <f t="shared" ref="P502:P507" si="216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7">L506+L513</f>
        <v>0</v>
      </c>
      <c r="M503" s="90">
        <f t="shared" si="217"/>
        <v>0</v>
      </c>
      <c r="N503" s="90">
        <f t="shared" si="217"/>
        <v>0</v>
      </c>
      <c r="O503" s="90">
        <f t="shared" si="215"/>
        <v>0</v>
      </c>
      <c r="P503" s="90">
        <f t="shared" si="216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7"/>
        <v>0</v>
      </c>
      <c r="M504" s="90">
        <f t="shared" si="217"/>
        <v>0</v>
      </c>
      <c r="N504" s="90">
        <f t="shared" si="217"/>
        <v>0</v>
      </c>
      <c r="O504" s="90">
        <f t="shared" si="215"/>
        <v>0</v>
      </c>
      <c r="P504" s="90">
        <f t="shared" si="216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8">L506+L507</f>
        <v>0</v>
      </c>
      <c r="M505" s="90">
        <f t="shared" si="218"/>
        <v>0</v>
      </c>
      <c r="N505" s="90">
        <f t="shared" si="218"/>
        <v>0</v>
      </c>
      <c r="O505" s="90">
        <f t="shared" si="215"/>
        <v>0</v>
      </c>
      <c r="P505" s="90">
        <f t="shared" si="216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5"/>
        <v>0</v>
      </c>
      <c r="P506" s="90">
        <f t="shared" si="216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5"/>
        <v>0</v>
      </c>
      <c r="P507" s="90">
        <f t="shared" si="216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19">L513+L514</f>
        <v>0</v>
      </c>
      <c r="M512" s="90">
        <f t="shared" si="219"/>
        <v>0</v>
      </c>
      <c r="N512" s="90">
        <f t="shared" si="219"/>
        <v>0</v>
      </c>
      <c r="O512" s="90">
        <f t="shared" ref="O512:O514" si="220">IF(L512&gt;0,N512*100/L512,0)</f>
        <v>0</v>
      </c>
      <c r="P512" s="90">
        <f t="shared" ref="P512:P514" si="221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0"/>
        <v>0</v>
      </c>
      <c r="P513" s="90">
        <f t="shared" si="221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0"/>
        <v>0</v>
      </c>
      <c r="P514" s="90">
        <f t="shared" si="221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2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2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3">I537</f>
        <v>0</v>
      </c>
      <c r="J522" s="698">
        <f t="shared" ca="1" si="223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4">L524+L525</f>
        <v>0</v>
      </c>
      <c r="M523" s="191">
        <f t="shared" si="224"/>
        <v>0</v>
      </c>
      <c r="N523" s="191">
        <f t="shared" si="224"/>
        <v>0</v>
      </c>
      <c r="O523" s="191">
        <f t="shared" ref="O523:O528" ca="1" si="225">IF(L523&gt;0,N523*100/L523,0)</f>
        <v>0</v>
      </c>
      <c r="P523" s="191">
        <f t="shared" ref="P523:P528" si="226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7">L527+L534</f>
        <v>0</v>
      </c>
      <c r="M524" s="90">
        <f t="shared" si="227"/>
        <v>0</v>
      </c>
      <c r="N524" s="90">
        <f t="shared" si="227"/>
        <v>0</v>
      </c>
      <c r="O524" s="90">
        <f t="shared" si="225"/>
        <v>0</v>
      </c>
      <c r="P524" s="90">
        <f t="shared" si="226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7"/>
        <v>0</v>
      </c>
      <c r="M525" s="90">
        <f t="shared" si="227"/>
        <v>0</v>
      </c>
      <c r="N525" s="90">
        <f t="shared" si="227"/>
        <v>0</v>
      </c>
      <c r="O525" s="90">
        <f t="shared" ca="1" si="225"/>
        <v>0</v>
      </c>
      <c r="P525" s="90">
        <f t="shared" si="226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8">L527+L528</f>
        <v>0</v>
      </c>
      <c r="M526" s="495">
        <f t="shared" si="228"/>
        <v>0</v>
      </c>
      <c r="N526" s="495">
        <f t="shared" si="228"/>
        <v>0</v>
      </c>
      <c r="O526" s="495">
        <f t="shared" ca="1" si="225"/>
        <v>0</v>
      </c>
      <c r="P526" s="495">
        <f t="shared" si="226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5"/>
        <v>0</v>
      </c>
      <c r="P527" s="90">
        <f t="shared" si="226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IFERROR(__xludf.DUMMYFUNCTION("IMPORTRANGE(""https://docs.google.com/spreadsheets/d/1QqKyyYR6Q21VydFLVH3TRQUabQu_ym0Zz7PgGX0-kHA/edit?usp=sharing"",""แผน!GQ64"")"),0)</f>
        <v>0</v>
      </c>
      <c r="M528" s="90">
        <v>0</v>
      </c>
      <c r="N528" s="90">
        <f>N529+N530+N531+N532</f>
        <v>0</v>
      </c>
      <c r="O528" s="90">
        <f t="shared" ca="1" si="225"/>
        <v>0</v>
      </c>
      <c r="P528" s="90">
        <f t="shared" si="226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29">L534+L535</f>
        <v>0</v>
      </c>
      <c r="M533" s="495">
        <f t="shared" si="229"/>
        <v>0</v>
      </c>
      <c r="N533" s="495">
        <f t="shared" si="229"/>
        <v>0</v>
      </c>
      <c r="O533" s="495">
        <f t="shared" ref="O533:O535" ca="1" si="230">IF(L533&gt;0,N533*100/L533,0)</f>
        <v>0</v>
      </c>
      <c r="P533" s="495">
        <f t="shared" ref="P533:P535" si="231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0"/>
        <v>0</v>
      </c>
      <c r="P534" s="90">
        <f t="shared" si="231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IFERROR(__xludf.DUMMYFUNCTION("IMPORTRANGE(""https://docs.google.com/spreadsheets/d/1QqKyyYR6Q21VydFLVH3TRQUabQu_ym0Zz7PgGX0-kHA/edit?usp=sharing"",""แผน!GT64"")"),0)</f>
        <v>0</v>
      </c>
      <c r="M535" s="90">
        <v>0</v>
      </c>
      <c r="N535" s="90">
        <v>0</v>
      </c>
      <c r="O535" s="90">
        <f t="shared" ca="1" si="230"/>
        <v>0</v>
      </c>
      <c r="P535" s="90">
        <f t="shared" si="231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IFERROR(__xludf.DUMMYFUNCTION("IMPORTRANGE(""https://docs.google.com/spreadsheets/d/1QqKyyYR6Q21VydFLVH3TRQUabQu_ym0Zz7PgGX0-kHA/edit?usp=sharing"",""แผน!GU64"")"),0)</f>
        <v>0</v>
      </c>
      <c r="J537" s="673">
        <f ca="1">IF(AND(J538=I538,J539=I539,J540=I540,J541=I541),I537,0)</f>
        <v>0</v>
      </c>
      <c r="K537" s="495">
        <f t="shared" ref="K537:K543" ca="1" si="232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IFERROR(__xludf.DUMMYFUNCTION("IMPORTRANGE(""https://docs.google.com/spreadsheets/d/1QqKyyYR6Q21VydFLVH3TRQUabQu_ym0Zz7PgGX0-kHA/edit?usp=sharing"",""แผน!GV64"")"),0)</f>
        <v>0</v>
      </c>
      <c r="J538" s="210">
        <v>0</v>
      </c>
      <c r="K538" s="495">
        <f t="shared" ca="1" si="232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IFERROR(__xludf.DUMMYFUNCTION("IMPORTRANGE(""https://docs.google.com/spreadsheets/d/1QqKyyYR6Q21VydFLVH3TRQUabQu_ym0Zz7PgGX0-kHA/edit?usp=sharing"",""แผน!GW64"")"),0)</f>
        <v>0</v>
      </c>
      <c r="J539" s="210">
        <v>0</v>
      </c>
      <c r="K539" s="495">
        <f t="shared" ca="1" si="232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IFERROR(__xludf.DUMMYFUNCTION("IMPORTRANGE(""https://docs.google.com/spreadsheets/d/1QqKyyYR6Q21VydFLVH3TRQUabQu_ym0Zz7PgGX0-kHA/edit?usp=sharing"",""แผน!GX64"")"),0)</f>
        <v>0</v>
      </c>
      <c r="J540" s="210">
        <v>0</v>
      </c>
      <c r="K540" s="495">
        <f t="shared" ca="1" si="232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IFERROR(__xludf.DUMMYFUNCTION("IMPORTRANGE(""https://docs.google.com/spreadsheets/d/1QqKyyYR6Q21VydFLVH3TRQUabQu_ym0Zz7PgGX0-kHA/edit?usp=sharing"",""แผน!GY64"")"),0)</f>
        <v>0</v>
      </c>
      <c r="J541" s="210">
        <v>0</v>
      </c>
      <c r="K541" s="495">
        <f t="shared" ca="1" si="232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IFERROR(__xludf.DUMMYFUNCTION("IMPORTRANGE(""https://docs.google.com/spreadsheets/d/1QqKyyYR6Q21VydFLVH3TRQUabQu_ym0Zz7PgGX0-kHA/edit?usp=sharing"",""แผน!GZ64"")"),0)</f>
        <v>0</v>
      </c>
      <c r="J542" s="210">
        <v>0</v>
      </c>
      <c r="K542" s="495">
        <f t="shared" ca="1" si="232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3">I559</f>
        <v>0</v>
      </c>
      <c r="J543" s="679">
        <f t="shared" si="233"/>
        <v>0</v>
      </c>
      <c r="K543" s="680">
        <f t="shared" ca="1" si="232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4">L545+L546</f>
        <v>217400</v>
      </c>
      <c r="M544" s="151">
        <f t="shared" si="234"/>
        <v>0</v>
      </c>
      <c r="N544" s="151">
        <f t="shared" si="234"/>
        <v>0</v>
      </c>
      <c r="O544" s="151">
        <f t="shared" ref="O544:O549" ca="1" si="235">IF(L544&gt;0,N544*100/L544,0)</f>
        <v>0</v>
      </c>
      <c r="P544" s="151">
        <f t="shared" ref="P544:P549" si="236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7">L548+L556</f>
        <v>0</v>
      </c>
      <c r="M545" s="90">
        <f t="shared" ref="M545:N546" si="238">M548+M555</f>
        <v>0</v>
      </c>
      <c r="N545" s="90">
        <f t="shared" si="238"/>
        <v>0</v>
      </c>
      <c r="O545" s="90">
        <f t="shared" si="235"/>
        <v>0</v>
      </c>
      <c r="P545" s="90">
        <f t="shared" si="236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7"/>
        <v>217400</v>
      </c>
      <c r="M546" s="90">
        <f t="shared" si="238"/>
        <v>0</v>
      </c>
      <c r="N546" s="90">
        <f t="shared" si="238"/>
        <v>0</v>
      </c>
      <c r="O546" s="90">
        <f t="shared" ca="1" si="235"/>
        <v>0</v>
      </c>
      <c r="P546" s="90">
        <f t="shared" si="236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39">L548+L549</f>
        <v>217400</v>
      </c>
      <c r="M547" s="495">
        <f t="shared" si="239"/>
        <v>0</v>
      </c>
      <c r="N547" s="495">
        <f t="shared" si="239"/>
        <v>0</v>
      </c>
      <c r="O547" s="495">
        <f t="shared" ca="1" si="235"/>
        <v>0</v>
      </c>
      <c r="P547" s="495">
        <f t="shared" si="236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5"/>
        <v>0</v>
      </c>
      <c r="P548" s="90">
        <f t="shared" si="236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IFERROR(__xludf.DUMMYFUNCTION("IMPORTRANGE(""https://docs.google.com/spreadsheets/d/1QqKyyYR6Q21VydFLVH3TRQUabQu_ym0Zz7PgGX0-kHA/edit?usp=sharing"",""แผน!HB64"")"),217400)</f>
        <v>217400</v>
      </c>
      <c r="M549" s="90">
        <v>0</v>
      </c>
      <c r="N549" s="90">
        <f>N550+N551+N552+N553+N554</f>
        <v>0</v>
      </c>
      <c r="O549" s="90">
        <f t="shared" ca="1" si="235"/>
        <v>0</v>
      </c>
      <c r="P549" s="90">
        <f t="shared" si="236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0">L556+L557</f>
        <v>0</v>
      </c>
      <c r="M555" s="495">
        <f t="shared" si="240"/>
        <v>0</v>
      </c>
      <c r="N555" s="495">
        <f t="shared" si="240"/>
        <v>0</v>
      </c>
      <c r="O555" s="495">
        <f t="shared" ref="O555:O557" ca="1" si="241">IF(L555&gt;0,N555*100/L555,0)</f>
        <v>0</v>
      </c>
      <c r="P555" s="495">
        <f t="shared" ref="P555:P557" si="242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1"/>
        <v>0</v>
      </c>
      <c r="P556" s="90">
        <f t="shared" si="242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IFERROR(__xludf.DUMMYFUNCTION("IMPORTRANGE(""https://docs.google.com/spreadsheets/d/1QqKyyYR6Q21VydFLVH3TRQUabQu_ym0Zz7PgGX0-kHA/edit?usp=sharing"",""แผน!HF64"")"),0)</f>
        <v>0</v>
      </c>
      <c r="M557" s="90">
        <v>0</v>
      </c>
      <c r="N557" s="90">
        <v>0</v>
      </c>
      <c r="O557" s="90">
        <f t="shared" ca="1" si="241"/>
        <v>0</v>
      </c>
      <c r="P557" s="90">
        <f t="shared" si="242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3">I576</f>
        <v>0</v>
      </c>
      <c r="J559" s="698">
        <f t="shared" si="243"/>
        <v>0</v>
      </c>
      <c r="K559" s="669">
        <f t="shared" ref="K559:K561" ca="1" si="244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IFERROR(__xludf.DUMMYFUNCTION("IMPORTRANGE(""https://docs.google.com/spreadsheets/d/1QqKyyYR6Q21VydFLVH3TRQUabQu_ym0Zz7PgGX0-kHA/edit?usp=sharing"",""แผน!HH64"")"),0)</f>
        <v>0</v>
      </c>
      <c r="J560" s="189">
        <f t="shared" ref="J560:J561" si="245">J562+J564+J566</f>
        <v>0</v>
      </c>
      <c r="K560" s="409">
        <f t="shared" ca="1" si="244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IFERROR(__xludf.DUMMYFUNCTION("IMPORTRANGE(""https://docs.google.com/spreadsheets/d/1QqKyyYR6Q21VydFLVH3TRQUabQu_ym0Zz7PgGX0-kHA/edit?usp=sharing"",""แผน!HG64"")"),0)</f>
        <v>0</v>
      </c>
      <c r="J561" s="189">
        <f t="shared" si="245"/>
        <v>0</v>
      </c>
      <c r="K561" s="409">
        <f t="shared" ca="1" si="244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IFERROR(__xludf.DUMMYFUNCTION("IMPORTRANGE(""https://docs.google.com/spreadsheets/d/1QqKyyYR6Q21VydFLVH3TRQUabQu_ym0Zz7PgGX0-kHA/edit?usp=sharing"",""แผน!HH64"")"),0)</f>
        <v>0</v>
      </c>
      <c r="J568" s="673">
        <f t="shared" ref="J568:J569" si="246">J570+J572+J574</f>
        <v>0</v>
      </c>
      <c r="K568" s="409">
        <f t="shared" ref="K568:K569" ca="1" si="247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IFERROR(__xludf.DUMMYFUNCTION("IMPORTRANGE(""https://docs.google.com/spreadsheets/d/1QqKyyYR6Q21VydFLVH3TRQUabQu_ym0Zz7PgGX0-kHA/edit?usp=sharing"",""แผน!HG64"")"),0)</f>
        <v>0</v>
      </c>
      <c r="J569" s="673">
        <f t="shared" si="246"/>
        <v>0</v>
      </c>
      <c r="K569" s="409">
        <f t="shared" ca="1" si="247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IFERROR(__xludf.DUMMYFUNCTION("IMPORTRANGE(""https://docs.google.com/spreadsheets/d/1QqKyyYR6Q21VydFLVH3TRQUabQu_ym0Zz7PgGX0-kHA/edit?usp=sharing"",""แผน!HH64"")"),0)</f>
        <v>0</v>
      </c>
      <c r="J576" s="673">
        <f t="shared" ref="J576:J577" si="248">J578+J580+J582+J588+J590</f>
        <v>0</v>
      </c>
      <c r="K576" s="409">
        <f t="shared" ref="K576:K577" ca="1" si="249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IFERROR(__xludf.DUMMYFUNCTION("IMPORTRANGE(""https://docs.google.com/spreadsheets/d/1QqKyyYR6Q21VydFLVH3TRQUabQu_ym0Zz7PgGX0-kHA/edit?usp=sharing"",""แผน!HG64"")"),0)</f>
        <v>0</v>
      </c>
      <c r="J577" s="673">
        <f t="shared" si="248"/>
        <v>0</v>
      </c>
      <c r="K577" s="409">
        <f t="shared" ca="1" si="249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0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0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1">I593</f>
        <v>280</v>
      </c>
      <c r="J592" s="698">
        <f t="shared" si="251"/>
        <v>0</v>
      </c>
      <c r="K592" s="669">
        <f t="shared" ref="K592:K594" ca="1" si="252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IFERROR(__xludf.DUMMYFUNCTION("IMPORTRANGE(""https://docs.google.com/spreadsheets/d/1QqKyyYR6Q21VydFLVH3TRQUabQu_ym0Zz7PgGX0-kHA/edit?usp=sharing"",""แผน!HJ64"")"),280)</f>
        <v>280</v>
      </c>
      <c r="J593" s="189">
        <f t="shared" ref="J593:J594" si="253">J595+J603+J609</f>
        <v>0</v>
      </c>
      <c r="K593" s="409">
        <f t="shared" ca="1" si="252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IFERROR(__xludf.DUMMYFUNCTION("IMPORTRANGE(""https://docs.google.com/spreadsheets/d/1QqKyyYR6Q21VydFLVH3TRQUabQu_ym0Zz7PgGX0-kHA/edit?usp=sharing"",""แผน!HI64"")"),18)</f>
        <v>18</v>
      </c>
      <c r="J594" s="189">
        <f t="shared" si="253"/>
        <v>0</v>
      </c>
      <c r="K594" s="409">
        <f t="shared" ca="1" si="252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4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4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5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5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6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7">J614+J616</f>
        <v>0</v>
      </c>
      <c r="K612" s="707">
        <f t="shared" si="256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7"/>
        <v>0</v>
      </c>
      <c r="K613" s="707">
        <f t="shared" si="256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IFERROR(__xludf.DUMMYFUNCTION("IMPORTRANGE(""https://docs.google.com/spreadsheets/d/1QqKyyYR6Q21VydFLVH3TRQUabQu_ym0Zz7PgGX0-kHA/edit?usp=sharing"",""แผน!HL64"")"),0)</f>
        <v>0</v>
      </c>
      <c r="J620" s="718">
        <f t="shared" ref="J620:J621" si="258">J622+J624+J626</f>
        <v>0</v>
      </c>
      <c r="K620" s="719">
        <f t="shared" ref="K620:K621" ca="1" si="259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IFERROR(__xludf.DUMMYFUNCTION("IMPORTRANGE(""https://docs.google.com/spreadsheets/d/1QqKyyYR6Q21VydFLVH3TRQUabQu_ym0Zz7PgGX0-kHA/edit?usp=sharing"",""แผน!HK64"")"),0)</f>
        <v>0</v>
      </c>
      <c r="J621" s="718">
        <f t="shared" si="258"/>
        <v>0</v>
      </c>
      <c r="K621" s="719">
        <f t="shared" ca="1" si="259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0">I651</f>
        <v>0</v>
      </c>
      <c r="J628" s="731">
        <f t="shared" ca="1" si="260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1">L630+L631</f>
        <v>0</v>
      </c>
      <c r="M629" s="191">
        <f t="shared" si="261"/>
        <v>0</v>
      </c>
      <c r="N629" s="191">
        <f t="shared" si="261"/>
        <v>0</v>
      </c>
      <c r="O629" s="191">
        <f t="shared" ref="O629:O634" ca="1" si="262">IF(L629&gt;0,N629*100/L629,0)</f>
        <v>0</v>
      </c>
      <c r="P629" s="191">
        <f t="shared" ref="P629:P634" si="263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4">L633+L640</f>
        <v>0</v>
      </c>
      <c r="M630" s="90">
        <f t="shared" si="264"/>
        <v>0</v>
      </c>
      <c r="N630" s="90">
        <f t="shared" si="264"/>
        <v>0</v>
      </c>
      <c r="O630" s="90">
        <f t="shared" si="262"/>
        <v>0</v>
      </c>
      <c r="P630" s="90">
        <f t="shared" si="263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4"/>
        <v>0</v>
      </c>
      <c r="M631" s="90">
        <f t="shared" si="264"/>
        <v>0</v>
      </c>
      <c r="N631" s="90">
        <f t="shared" si="264"/>
        <v>0</v>
      </c>
      <c r="O631" s="90">
        <f t="shared" ca="1" si="262"/>
        <v>0</v>
      </c>
      <c r="P631" s="90">
        <f t="shared" si="263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5">L633+L634</f>
        <v>0</v>
      </c>
      <c r="M632" s="495">
        <f t="shared" si="265"/>
        <v>0</v>
      </c>
      <c r="N632" s="495">
        <f t="shared" si="265"/>
        <v>0</v>
      </c>
      <c r="O632" s="495">
        <f t="shared" ca="1" si="262"/>
        <v>0</v>
      </c>
      <c r="P632" s="495">
        <f t="shared" si="263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2"/>
        <v>0</v>
      </c>
      <c r="P633" s="90">
        <f t="shared" si="263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IFERROR(__xludf.DUMMYFUNCTION("IMPORTRANGE(""https://docs.google.com/spreadsheets/d/1QqKyyYR6Q21VydFLVH3TRQUabQu_ym0Zz7PgGX0-kHA/edit?usp=sharing"",""แผน!HN64"")"),0)</f>
        <v>0</v>
      </c>
      <c r="M634" s="90">
        <v>0</v>
      </c>
      <c r="N634" s="90">
        <f>N635+N636+N637+N638</f>
        <v>0</v>
      </c>
      <c r="O634" s="90">
        <f t="shared" ca="1" si="262"/>
        <v>0</v>
      </c>
      <c r="P634" s="90">
        <f t="shared" si="263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6">L640+L641</f>
        <v>0</v>
      </c>
      <c r="M639" s="495">
        <f t="shared" si="266"/>
        <v>0</v>
      </c>
      <c r="N639" s="495">
        <f t="shared" si="266"/>
        <v>0</v>
      </c>
      <c r="O639" s="495">
        <f t="shared" ref="O639:O641" ca="1" si="267">IF(L639&gt;0,N639*100/L639,0)</f>
        <v>0</v>
      </c>
      <c r="P639" s="495">
        <f t="shared" ref="P639:P641" si="268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7"/>
        <v>0</v>
      </c>
      <c r="P640" s="90">
        <f t="shared" si="268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IFERROR(__xludf.DUMMYFUNCTION("IMPORTRANGE(""https://docs.google.com/spreadsheets/d/1QqKyyYR6Q21VydFLVH3TRQUabQu_ym0Zz7PgGX0-kHA/edit?usp=sharing"",""แผน!HQ64"")"),0)</f>
        <v>0</v>
      </c>
      <c r="M641" s="90">
        <v>0</v>
      </c>
      <c r="N641" s="90">
        <v>0</v>
      </c>
      <c r="O641" s="90">
        <f t="shared" ca="1" si="267"/>
        <v>0</v>
      </c>
      <c r="P641" s="90">
        <f t="shared" si="268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IFERROR(__xludf.DUMMYFUNCTION("IMPORTRANGE(""https://docs.google.com/spreadsheets/d/1QqKyyYR6Q21VydFLVH3TRQUabQu_ym0Zz7PgGX0-kHA/edit?usp=sharing"",""แผน!HR64"")"),0)</f>
        <v>0</v>
      </c>
      <c r="J643" s="210">
        <v>0</v>
      </c>
      <c r="K643" s="159">
        <f t="shared" ref="K643:K652" ca="1" si="269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IFERROR(__xludf.DUMMYFUNCTION("IMPORTRANGE(""https://docs.google.com/spreadsheets/d/1QqKyyYR6Q21VydFLVH3TRQUabQu_ym0Zz7PgGX0-kHA/edit?usp=sharing"",""แผน!HR64"")"),0)</f>
        <v>0</v>
      </c>
      <c r="J644" s="210">
        <v>0</v>
      </c>
      <c r="K644" s="159">
        <f t="shared" ca="1" si="269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IFERROR(__xludf.DUMMYFUNCTION("IMPORTRANGE(""https://docs.google.com/spreadsheets/d/1XWAQStnk-4SwqDmLtmXYiTMKHgktTP8We1SCoS47DrQ/edit?usp=sharing"",""จัดที่ดิน!AS64"")"),0)</f>
        <v>0</v>
      </c>
      <c r="K645" s="159">
        <f t="shared" si="269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IFERROR(__xludf.DUMMYFUNCTION("IMPORTRANGE(""https://docs.google.com/spreadsheets/d/1XWAQStnk-4SwqDmLtmXYiTMKHgktTP8We1SCoS47DrQ/edit?usp=sharing"",""จัดที่ดิน!AT64"")"),0)</f>
        <v>0</v>
      </c>
      <c r="K646" s="495">
        <f t="shared" si="269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IFERROR(__xludf.DUMMYFUNCTION("IMPORTRANGE(""https://docs.google.com/spreadsheets/d/1QqKyyYR6Q21VydFLVH3TRQUabQu_ym0Zz7PgGX0-kHA/edit?usp=sharing"",""แผน!HS64"")"),0)</f>
        <v>0</v>
      </c>
      <c r="J647" s="264">
        <f ca="1">IFERROR(__xludf.DUMMYFUNCTION("IMPORTRANGE(""https://docs.google.com/spreadsheets/d/1XWAQStnk-4SwqDmLtmXYiTMKHgktTP8We1SCoS47DrQ/edit?usp=sharing"",""จัดที่ดิน!AU64"")"),0)</f>
        <v>0</v>
      </c>
      <c r="K647" s="159">
        <f t="shared" ca="1" si="269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IFERROR(__xludf.DUMMYFUNCTION("IMPORTRANGE(""https://docs.google.com/spreadsheets/d/1XWAQStnk-4SwqDmLtmXYiTMKHgktTP8We1SCoS47DrQ/edit?usp=sharing"",""จัดที่ดิน!AV64"")"),0)</f>
        <v>0</v>
      </c>
      <c r="K648" s="495">
        <f t="shared" si="269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IFERROR(__xludf.DUMMYFUNCTION("IMPORTRANGE(""https://docs.google.com/spreadsheets/d/1QqKyyYR6Q21VydFLVH3TRQUabQu_ym0Zz7PgGX0-kHA/edit?usp=sharing"",""แผน!HS64"")"),0)</f>
        <v>0</v>
      </c>
      <c r="J649" s="264">
        <f ca="1">IFERROR(__xludf.DUMMYFUNCTION("IMPORTRANGE(""https://docs.google.com/spreadsheets/d/1XWAQStnk-4SwqDmLtmXYiTMKHgktTP8We1SCoS47DrQ/edit?usp=sharing"",""จัดที่ดิน!AW64"")"),0)</f>
        <v>0</v>
      </c>
      <c r="K649" s="159">
        <f t="shared" ca="1" si="269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IFERROR(__xludf.DUMMYFUNCTION("IMPORTRANGE(""https://docs.google.com/spreadsheets/d/1XWAQStnk-4SwqDmLtmXYiTMKHgktTP8We1SCoS47DrQ/edit?usp=sharing"",""จัดที่ดิน!AX64"")"),0)</f>
        <v>0</v>
      </c>
      <c r="K650" s="495">
        <f t="shared" si="269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IFERROR(__xludf.DUMMYFUNCTION("IMPORTRANGE(""https://docs.google.com/spreadsheets/d/1QqKyyYR6Q21VydFLVH3TRQUabQu_ym0Zz7PgGX0-kHA/edit?usp=sharing"",""แผน!HS64"")"),0)</f>
        <v>0</v>
      </c>
      <c r="J651" s="264">
        <f ca="1">IFERROR(__xludf.DUMMYFUNCTION("IMPORTRANGE(""https://docs.google.com/spreadsheets/d/1XWAQStnk-4SwqDmLtmXYiTMKHgktTP8We1SCoS47DrQ/edit?usp=sharing"",""จัดที่ดิน!AY64"")"),0)</f>
        <v>0</v>
      </c>
      <c r="K651" s="159">
        <f t="shared" ca="1" si="269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IFERROR(__xludf.DUMMYFUNCTION("IMPORTRANGE(""https://docs.google.com/spreadsheets/d/1XWAQStnk-4SwqDmLtmXYiTMKHgktTP8We1SCoS47DrQ/edit?usp=sharing"",""จัดที่ดิน!AZ64"")"),0)</f>
        <v>0</v>
      </c>
      <c r="K652" s="499">
        <f t="shared" si="269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0">I669</f>
        <v>185</v>
      </c>
      <c r="J654" s="698">
        <f t="shared" si="270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1">L656+L657</f>
        <v>20700</v>
      </c>
      <c r="M655" s="191">
        <f t="shared" si="271"/>
        <v>0</v>
      </c>
      <c r="N655" s="191">
        <f t="shared" si="271"/>
        <v>0</v>
      </c>
      <c r="O655" s="191">
        <f t="shared" ref="O655:O660" ca="1" si="272">IF(L655&gt;0,N655*100/L655,0)</f>
        <v>0</v>
      </c>
      <c r="P655" s="191">
        <f t="shared" ref="P655:P660" si="273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4">L659+L666</f>
        <v>0</v>
      </c>
      <c r="M656" s="90">
        <f t="shared" si="274"/>
        <v>0</v>
      </c>
      <c r="N656" s="90">
        <f t="shared" si="274"/>
        <v>0</v>
      </c>
      <c r="O656" s="90">
        <f t="shared" si="272"/>
        <v>0</v>
      </c>
      <c r="P656" s="90">
        <f t="shared" si="273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4"/>
        <v>20700</v>
      </c>
      <c r="M657" s="90">
        <f t="shared" si="274"/>
        <v>0</v>
      </c>
      <c r="N657" s="90">
        <f t="shared" si="274"/>
        <v>0</v>
      </c>
      <c r="O657" s="90">
        <f t="shared" ca="1" si="272"/>
        <v>0</v>
      </c>
      <c r="P657" s="90">
        <f t="shared" si="273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5">L659+L660</f>
        <v>20700</v>
      </c>
      <c r="M658" s="495">
        <f t="shared" si="275"/>
        <v>0</v>
      </c>
      <c r="N658" s="495">
        <f t="shared" si="275"/>
        <v>0</v>
      </c>
      <c r="O658" s="495">
        <f t="shared" ca="1" si="272"/>
        <v>0</v>
      </c>
      <c r="P658" s="495">
        <f t="shared" si="273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2"/>
        <v>0</v>
      </c>
      <c r="P659" s="90">
        <f t="shared" si="273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IFERROR(__xludf.DUMMYFUNCTION("IMPORTRANGE(""https://docs.google.com/spreadsheets/d/1QqKyyYR6Q21VydFLVH3TRQUabQu_ym0Zz7PgGX0-kHA/edit?usp=sharing"",""แผน!HV64"")"),20700)</f>
        <v>20700</v>
      </c>
      <c r="M660" s="90">
        <v>0</v>
      </c>
      <c r="N660" s="90">
        <f>N661+N662+N663+N664</f>
        <v>0</v>
      </c>
      <c r="O660" s="90">
        <f t="shared" ca="1" si="272"/>
        <v>0</v>
      </c>
      <c r="P660" s="90">
        <f t="shared" si="273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6">L666+L667</f>
        <v>0</v>
      </c>
      <c r="M665" s="495">
        <f t="shared" si="276"/>
        <v>0</v>
      </c>
      <c r="N665" s="495">
        <f t="shared" si="276"/>
        <v>0</v>
      </c>
      <c r="O665" s="495">
        <f t="shared" ref="O665:O667" si="277">IF(L665&gt;0,N665*100/L665,0)</f>
        <v>0</v>
      </c>
      <c r="P665" s="495">
        <f t="shared" ref="P665:P667" si="278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7"/>
        <v>0</v>
      </c>
      <c r="P666" s="90">
        <f t="shared" si="278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7"/>
        <v>0</v>
      </c>
      <c r="P667" s="90">
        <f t="shared" si="278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IFERROR(__xludf.DUMMYFUNCTION("IMPORTRANGE(""https://docs.google.com/spreadsheets/d/1QqKyyYR6Q21VydFLVH3TRQUabQu_ym0Zz7PgGX0-kHA/edit?usp=sharing"",""แผน!IA64"")"),185)</f>
        <v>185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IFERROR(__xludf.DUMMYFUNCTION("IMPORTRANGE(""https://docs.google.com/spreadsheets/d/1QqKyyYR6Q21VydFLVH3TRQUabQu_ym0Zz7PgGX0-kHA/edit?usp=sharing"",""แผน!HZ64"")"),6)</f>
        <v>6</v>
      </c>
      <c r="J670" s="210">
        <v>6</v>
      </c>
      <c r="K670" s="495">
        <f ca="1">IF(I670&gt;0,(J670*100)/I670,0)</f>
        <v>100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IFERROR(__xludf.DUMMYFUNCTION("IMPORTRANGE(""https://docs.google.com/spreadsheets/d/1QqKyyYR6Q21VydFLVH3TRQUabQu_ym0Zz7PgGX0-kHA/edit?usp=sharing"",""แผน!HZ64"")"),6)</f>
        <v>6</v>
      </c>
      <c r="J671" s="210">
        <v>6</v>
      </c>
      <c r="K671" s="495">
        <f ca="1">IF(I$671&gt;0,J671*100/I$671,0)</f>
        <v>100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79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79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79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79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IFERROR(__xludf.DUMMYFUNCTION("IMPORTRANGE(""https://docs.google.com/spreadsheets/d/1QqKyyYR6Q21VydFLVH3TRQUabQu_ym0Zz7PgGX0-kHA/edit?usp=sharing"",""แผน!IB64"")"),0)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0">L686+L687</f>
        <v>41600</v>
      </c>
      <c r="M685" s="191">
        <f t="shared" si="280"/>
        <v>0</v>
      </c>
      <c r="N685" s="191">
        <f t="shared" si="280"/>
        <v>0</v>
      </c>
      <c r="O685" s="191">
        <f t="shared" ref="O685:O688" ca="1" si="281">IF(L685&gt;0,N685*100/L685,0)</f>
        <v>0</v>
      </c>
      <c r="P685" s="191">
        <f t="shared" ref="P685:P688" si="282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3">L689+L696</f>
        <v>0</v>
      </c>
      <c r="M686" s="90">
        <f t="shared" si="283"/>
        <v>0</v>
      </c>
      <c r="N686" s="90">
        <f t="shared" si="283"/>
        <v>0</v>
      </c>
      <c r="O686" s="90">
        <f t="shared" si="281"/>
        <v>0</v>
      </c>
      <c r="P686" s="90">
        <f t="shared" si="282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3"/>
        <v>41600</v>
      </c>
      <c r="M687" s="90">
        <f t="shared" si="283"/>
        <v>0</v>
      </c>
      <c r="N687" s="90">
        <f t="shared" si="283"/>
        <v>0</v>
      </c>
      <c r="O687" s="90">
        <f t="shared" ca="1" si="281"/>
        <v>0</v>
      </c>
      <c r="P687" s="90">
        <f t="shared" si="282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4">L689+L690</f>
        <v>41600</v>
      </c>
      <c r="M688" s="495">
        <f t="shared" si="284"/>
        <v>0</v>
      </c>
      <c r="N688" s="495">
        <f t="shared" si="284"/>
        <v>0</v>
      </c>
      <c r="O688" s="495">
        <f t="shared" ca="1" si="281"/>
        <v>0</v>
      </c>
      <c r="P688" s="495">
        <f t="shared" si="282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IFERROR(__xludf.DUMMYFUNCTION("IMPORTRANGE(""https://docs.google.com/spreadsheets/d/1QqKyyYR6Q21VydFLVH3TRQUabQu_ym0Zz7PgGX0-kHA/edit?usp=sharing"",""แผน!HW64"")"),41600)</f>
        <v>41600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5">L696+L697</f>
        <v>0</v>
      </c>
      <c r="M695" s="495">
        <f t="shared" si="285"/>
        <v>0</v>
      </c>
      <c r="N695" s="495">
        <f t="shared" si="285"/>
        <v>0</v>
      </c>
      <c r="O695" s="495">
        <f t="shared" ref="O695:O697" si="286">IF(L695&gt;0,N695*100/L695,0)</f>
        <v>0</v>
      </c>
      <c r="P695" s="495">
        <f t="shared" ref="P695:P697" si="287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6"/>
        <v>0</v>
      </c>
      <c r="P696" s="90">
        <f t="shared" si="287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6"/>
        <v>0</v>
      </c>
      <c r="P697" s="90">
        <f t="shared" si="287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IFERROR(__xludf.DUMMYFUNCTION("IMPORTRANGE(""https://docs.google.com/spreadsheets/d/1QqKyyYR6Q21VydFLVH3TRQUabQu_ym0Zz7PgGX0-kHA/edit?usp=sharing"",""แผน!IC64"")"),0)</f>
        <v>0</v>
      </c>
      <c r="J699" s="264">
        <f ca="1">IFERROR(__xludf.DUMMYFUNCTION("IMPORTRANGE(""https://docs.google.com/spreadsheets/d/1XWAQStnk-4SwqDmLtmXYiTMKHgktTP8We1SCoS47DrQ/edit?usp=sharing"",""จัดที่ดิน!BB64"")"),0)</f>
        <v>0</v>
      </c>
      <c r="K699" s="495">
        <f t="shared" ref="K699:K701" ca="1" si="288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IFERROR(__xludf.DUMMYFUNCTION("IMPORTRANGE(""https://docs.google.com/spreadsheets/d/1QqKyyYR6Q21VydFLVH3TRQUabQu_ym0Zz7PgGX0-kHA/edit?usp=sharing"",""แผน!ID64"")"),45)</f>
        <v>45</v>
      </c>
      <c r="J700" s="264">
        <f ca="1">IFERROR(__xludf.DUMMYFUNCTION("IMPORTRANGE(""https://docs.google.com/spreadsheets/d/1XWAQStnk-4SwqDmLtmXYiTMKHgktTP8We1SCoS47DrQ/edit?usp=sharing"",""จัดที่ดิน!BD64"")"),0)</f>
        <v>0</v>
      </c>
      <c r="K700" s="495">
        <f t="shared" ca="1" si="288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IFERROR(__xludf.DUMMYFUNCTION("IMPORTRANGE(""https://docs.google.com/spreadsheets/d/1QqKyyYR6Q21VydFLVH3TRQUabQu_ym0Zz7PgGX0-kHA/edit?usp=sharing"",""แผน!IE64"")"),0)</f>
        <v>0</v>
      </c>
      <c r="J701" s="673">
        <f>J704+J707</f>
        <v>0</v>
      </c>
      <c r="K701" s="191">
        <f t="shared" ca="1" si="288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IFERROR(__xludf.DUMMYFUNCTION("IMPORTRANGE(""https://docs.google.com/spreadsheets/d/1QqKyyYR6Q21VydFLVH3TRQUabQu_ym0Zz7PgGX0-kHA/edit?usp=sharing"",""แผน!IF64"")"),0)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IFERROR(__xludf.DUMMYFUNCTION("IMPORTRANGE(""https://docs.google.com/spreadsheets/d/1QqKyyYR6Q21VydFLVH3TRQUabQu_ym0Zz7PgGX0-kHA/edit?usp=sharing"",""แผน!IG64"")"),0)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IFERROR(__xludf.DUMMYFUNCTION("IMPORTRANGE(""https://docs.google.com/spreadsheets/d/1QqKyyYR6Q21VydFLVH3TRQUabQu_ym0Zz7PgGX0-kHA/edit?usp=sharing"",""แผน!IH64"")"),25)</f>
        <v>25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IFERROR(__xludf.DUMMYFUNCTION("IMPORTRANGE(""https://docs.google.com/spreadsheets/d/1XWAQStnk-4SwqDmLtmXYiTMKHgktTP8We1SCoS47DrQ/edit?usp=sharing"",""จัดที่ดิน!BF64"")"),0)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IFERROR(__xludf.DUMMYFUNCTION("IMPORTRANGE(""https://docs.google.com/spreadsheets/d/1XWAQStnk-4SwqDmLtmXYiTMKHgktTP8We1SCoS47DrQ/edit?usp=sharing"",""จัดที่ดิน!BG64"")"),0)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IFERROR(__xludf.DUMMYFUNCTION("IMPORTRANGE(""https://docs.google.com/spreadsheets/d/1QqKyyYR6Q21VydFLVH3TRQUabQu_ym0Zz7PgGX0-kHA/edit?usp=sharing"",""แผน!II64"")"),400)</f>
        <v>400</v>
      </c>
      <c r="J720" s="264">
        <f ca="1">IFERROR(__xludf.DUMMYFUNCTION("IMPORTRANGE(""https://docs.google.com/spreadsheets/d/1XWAQStnk-4SwqDmLtmXYiTMKHgktTP8We1SCoS47DrQ/edit?usp=sharing"",""จัดที่ดิน!BH64"")"),0)</f>
        <v>0</v>
      </c>
      <c r="K720" s="495">
        <f t="shared" ref="K720:K723" ca="1" si="289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IFERROR(__xludf.DUMMYFUNCTION("IMPORTRANGE(""https://docs.google.com/spreadsheets/d/1QqKyyYR6Q21VydFLVH3TRQUabQu_ym0Zz7PgGX0-kHA/edit?usp=sharing"",""แผน!IJ64"")"),35)</f>
        <v>35</v>
      </c>
      <c r="J721" s="673">
        <f ca="1">J723+J726</f>
        <v>1</v>
      </c>
      <c r="K721" s="191">
        <f t="shared" ca="1" si="289"/>
        <v>2.8571428571428572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IFERROR(__xludf.DUMMYFUNCTION("IMPORTRANGE(""https://docs.google.com/spreadsheets/d/1QqKyyYR6Q21VydFLVH3TRQUabQu_ym0Zz7PgGX0-kHA/edit?usp=sharing"",""แผน!IK64"")"),386)</f>
        <v>386</v>
      </c>
      <c r="J722" s="673">
        <f ca="1">J725+J728</f>
        <v>11.56</v>
      </c>
      <c r="K722" s="191">
        <f t="shared" ca="1" si="289"/>
        <v>2.9948186528497409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IFERROR(__xludf.DUMMYFUNCTION("IMPORTRANGE(""https://docs.google.com/spreadsheets/d/1QqKyyYR6Q21VydFLVH3TRQUabQu_ym0Zz7PgGX0-kHA/edit?usp=sharing"",""แผน!IL64"")"),35)</f>
        <v>35</v>
      </c>
      <c r="J723" s="264">
        <f ca="1">IFERROR(__xludf.DUMMYFUNCTION("IMPORTRANGE(""https://docs.google.com/spreadsheets/d/1XWAQStnk-4SwqDmLtmXYiTMKHgktTP8We1SCoS47DrQ/edit?usp=sharing"",""จัดที่ดิน!BM64"")"),1)</f>
        <v>1</v>
      </c>
      <c r="K723" s="495">
        <f t="shared" ca="1" si="289"/>
        <v>2.8571428571428572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IFERROR(__xludf.DUMMYFUNCTION("IMPORTRANGE(""https://docs.google.com/spreadsheets/d/1XWAQStnk-4SwqDmLtmXYiTMKHgktTP8We1SCoS47DrQ/edit?usp=sharing"",""จัดที่ดิน!BN64"")"),1)</f>
        <v>1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IFERROR(__xludf.DUMMYFUNCTION("IMPORTRANGE(""https://docs.google.com/spreadsheets/d/1QqKyyYR6Q21VydFLVH3TRQUabQu_ym0Zz7PgGX0-kHA/edit?usp=sharing"",""แผน!IM64"")"),386)</f>
        <v>386</v>
      </c>
      <c r="J725" s="264">
        <f ca="1">IFERROR(__xludf.DUMMYFUNCTION("IMPORTRANGE(""https://docs.google.com/spreadsheets/d/1XWAQStnk-4SwqDmLtmXYiTMKHgktTP8We1SCoS47DrQ/edit?usp=sharing"",""จัดที่ดิน!BO64"")"),11.56)</f>
        <v>11.56</v>
      </c>
      <c r="K725" s="495">
        <f t="shared" ref="K725:K726" ca="1" si="290">IF(I725&gt;0,J725*100/I725,0)</f>
        <v>2.9948186528497409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IFERROR(__xludf.DUMMYFUNCTION("IMPORTRANGE(""https://docs.google.com/spreadsheets/d/1QqKyyYR6Q21VydFLVH3TRQUabQu_ym0Zz7PgGX0-kHA/edit?usp=sharing"",""แผน!IN64"")"),0)</f>
        <v>0</v>
      </c>
      <c r="J726" s="264">
        <f ca="1">IFERROR(__xludf.DUMMYFUNCTION("IMPORTRANGE(""https://docs.google.com/spreadsheets/d/1XWAQStnk-4SwqDmLtmXYiTMKHgktTP8We1SCoS47DrQ/edit?usp=sharing"",""จัดที่ดิน!BR64"")"),0)</f>
        <v>0</v>
      </c>
      <c r="K726" s="495">
        <f t="shared" ca="1" si="290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IFERROR(__xludf.DUMMYFUNCTION("IMPORTRANGE(""https://docs.google.com/spreadsheets/d/1XWAQStnk-4SwqDmLtmXYiTMKHgktTP8We1SCoS47DrQ/edit?usp=sharing"",""จัดที่ดิน!BS64"")"),0)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IFERROR(__xludf.DUMMYFUNCTION("IMPORTRANGE(""https://docs.google.com/spreadsheets/d/1QqKyyYR6Q21VydFLVH3TRQUabQu_ym0Zz7PgGX0-kHA/edit?usp=sharing"",""แผน!IO64"")"),0)</f>
        <v>0</v>
      </c>
      <c r="J728" s="264">
        <f ca="1">IFERROR(__xludf.DUMMYFUNCTION("IMPORTRANGE(""https://docs.google.com/spreadsheets/d/1XWAQStnk-4SwqDmLtmXYiTMKHgktTP8We1SCoS47DrQ/edit?usp=sharing"",""จัดที่ดิน!BT64"")"),0)</f>
        <v>0</v>
      </c>
      <c r="K728" s="495">
        <f t="shared" ref="K728:K729" ca="1" si="291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IFERROR(__xludf.DUMMYFUNCTION("IMPORTRANGE(""https://docs.google.com/spreadsheets/d/1QqKyyYR6Q21VydFLVH3TRQUabQu_ym0Zz7PgGX0-kHA/edit?usp=sharing"",""แผน!IP64"")"),185)</f>
        <v>185</v>
      </c>
      <c r="J729" s="673">
        <f>J732+J735</f>
        <v>0</v>
      </c>
      <c r="K729" s="191">
        <f t="shared" ca="1" si="291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2">L738+L739</f>
        <v>0</v>
      </c>
      <c r="M737" s="639">
        <f t="shared" si="292"/>
        <v>0</v>
      </c>
      <c r="N737" s="639">
        <f t="shared" si="292"/>
        <v>0</v>
      </c>
      <c r="O737" s="639">
        <f t="shared" ref="O737:O742" si="293">IF(L737&gt;0,N737*100/L737,0)</f>
        <v>0</v>
      </c>
      <c r="P737" s="639">
        <f t="shared" ref="P737:P742" si="294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5">L741+L748</f>
        <v>0</v>
      </c>
      <c r="M738" s="90">
        <f t="shared" si="295"/>
        <v>0</v>
      </c>
      <c r="N738" s="90">
        <f t="shared" si="295"/>
        <v>0</v>
      </c>
      <c r="O738" s="90">
        <f t="shared" si="293"/>
        <v>0</v>
      </c>
      <c r="P738" s="90">
        <f t="shared" si="294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5"/>
        <v>0</v>
      </c>
      <c r="M739" s="90">
        <f t="shared" si="295"/>
        <v>0</v>
      </c>
      <c r="N739" s="90">
        <f t="shared" si="295"/>
        <v>0</v>
      </c>
      <c r="O739" s="90">
        <f t="shared" si="293"/>
        <v>0</v>
      </c>
      <c r="P739" s="90">
        <f t="shared" si="294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6">L741+L742</f>
        <v>0</v>
      </c>
      <c r="M740" s="639">
        <f t="shared" si="296"/>
        <v>0</v>
      </c>
      <c r="N740" s="639">
        <f t="shared" si="296"/>
        <v>0</v>
      </c>
      <c r="O740" s="639">
        <f t="shared" si="293"/>
        <v>0</v>
      </c>
      <c r="P740" s="639">
        <f t="shared" si="294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3"/>
        <v>0</v>
      </c>
      <c r="P741" s="90">
        <f t="shared" si="294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3"/>
        <v>0</v>
      </c>
      <c r="P742" s="90">
        <f t="shared" si="294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7">L748+L749</f>
        <v>0</v>
      </c>
      <c r="M747" s="639">
        <f t="shared" si="297"/>
        <v>0</v>
      </c>
      <c r="N747" s="639">
        <f t="shared" si="297"/>
        <v>0</v>
      </c>
      <c r="O747" s="639">
        <f t="shared" ref="O747:O749" si="298">IF(L747&gt;0,N747*100/L747,0)</f>
        <v>0</v>
      </c>
      <c r="P747" s="639">
        <f t="shared" ref="P747:P749" si="299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8"/>
        <v>0</v>
      </c>
      <c r="P748" s="90">
        <f t="shared" si="299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8"/>
        <v>0</v>
      </c>
      <c r="P749" s="90">
        <f t="shared" si="299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0">L755+L756</f>
        <v>0</v>
      </c>
      <c r="M754" s="639">
        <f t="shared" si="300"/>
        <v>0</v>
      </c>
      <c r="N754" s="639">
        <f t="shared" si="300"/>
        <v>0</v>
      </c>
      <c r="O754" s="639">
        <f t="shared" ref="O754:O759" si="301">IF(L754&gt;0,N754*100/L754,0)</f>
        <v>0</v>
      </c>
      <c r="P754" s="639">
        <f t="shared" ref="P754:P759" si="302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3">L758+L765</f>
        <v>0</v>
      </c>
      <c r="M755" s="90">
        <f t="shared" si="303"/>
        <v>0</v>
      </c>
      <c r="N755" s="90">
        <f t="shared" si="303"/>
        <v>0</v>
      </c>
      <c r="O755" s="90">
        <f t="shared" si="301"/>
        <v>0</v>
      </c>
      <c r="P755" s="90">
        <f t="shared" si="302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3"/>
        <v>0</v>
      </c>
      <c r="M756" s="90">
        <f t="shared" si="303"/>
        <v>0</v>
      </c>
      <c r="N756" s="90">
        <f t="shared" si="303"/>
        <v>0</v>
      </c>
      <c r="O756" s="90">
        <f t="shared" si="301"/>
        <v>0</v>
      </c>
      <c r="P756" s="90">
        <f t="shared" si="302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4">L758+L759</f>
        <v>0</v>
      </c>
      <c r="M757" s="639">
        <f t="shared" si="304"/>
        <v>0</v>
      </c>
      <c r="N757" s="639">
        <f t="shared" si="304"/>
        <v>0</v>
      </c>
      <c r="O757" s="639">
        <f t="shared" si="301"/>
        <v>0</v>
      </c>
      <c r="P757" s="639">
        <f t="shared" si="302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1"/>
        <v>0</v>
      </c>
      <c r="P758" s="90">
        <f t="shared" si="302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1"/>
        <v>0</v>
      </c>
      <c r="P759" s="90">
        <f t="shared" si="302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5">L765+L766</f>
        <v>0</v>
      </c>
      <c r="M764" s="639">
        <f t="shared" si="305"/>
        <v>0</v>
      </c>
      <c r="N764" s="639">
        <f t="shared" si="305"/>
        <v>0</v>
      </c>
      <c r="O764" s="639">
        <f t="shared" ref="O764:O766" si="306">IF(L764&gt;0,N764*100/L764,0)</f>
        <v>0</v>
      </c>
      <c r="P764" s="639">
        <f t="shared" ref="P764:P766" si="307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6"/>
        <v>0</v>
      </c>
      <c r="P765" s="90">
        <f t="shared" si="307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6"/>
        <v>0</v>
      </c>
      <c r="P766" s="90">
        <f t="shared" si="307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8">L771+L772</f>
        <v>0</v>
      </c>
      <c r="M770" s="639">
        <f t="shared" si="308"/>
        <v>0</v>
      </c>
      <c r="N770" s="639">
        <f t="shared" si="308"/>
        <v>0</v>
      </c>
      <c r="O770" s="639">
        <f t="shared" ref="O770:O775" si="309">IF(L770&gt;0,N770*100/L770,0)</f>
        <v>0</v>
      </c>
      <c r="P770" s="639">
        <f t="shared" ref="P770:P775" si="310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1">L774+L781</f>
        <v>0</v>
      </c>
      <c r="M771" s="90">
        <f t="shared" si="311"/>
        <v>0</v>
      </c>
      <c r="N771" s="90">
        <f t="shared" si="311"/>
        <v>0</v>
      </c>
      <c r="O771" s="90">
        <f t="shared" si="309"/>
        <v>0</v>
      </c>
      <c r="P771" s="90">
        <f t="shared" si="310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1"/>
        <v>0</v>
      </c>
      <c r="M772" s="90">
        <f t="shared" si="311"/>
        <v>0</v>
      </c>
      <c r="N772" s="90">
        <f t="shared" si="311"/>
        <v>0</v>
      </c>
      <c r="O772" s="90">
        <f t="shared" si="309"/>
        <v>0</v>
      </c>
      <c r="P772" s="90">
        <f t="shared" si="310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2">L774+L775</f>
        <v>0</v>
      </c>
      <c r="M773" s="639">
        <f t="shared" si="312"/>
        <v>0</v>
      </c>
      <c r="N773" s="639">
        <f t="shared" si="312"/>
        <v>0</v>
      </c>
      <c r="O773" s="639">
        <f t="shared" si="309"/>
        <v>0</v>
      </c>
      <c r="P773" s="639">
        <f t="shared" si="310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09"/>
        <v>0</v>
      </c>
      <c r="P774" s="90">
        <f t="shared" si="310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09"/>
        <v>0</v>
      </c>
      <c r="P775" s="90">
        <f t="shared" si="310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3">L781+L782</f>
        <v>0</v>
      </c>
      <c r="M780" s="639">
        <f t="shared" si="313"/>
        <v>0</v>
      </c>
      <c r="N780" s="639">
        <f t="shared" si="313"/>
        <v>0</v>
      </c>
      <c r="O780" s="639">
        <f t="shared" ref="O780:O782" si="314">IF(L780&gt;0,N780*100/L780,0)</f>
        <v>0</v>
      </c>
      <c r="P780" s="639">
        <f t="shared" ref="P780:P782" si="315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4"/>
        <v>0</v>
      </c>
      <c r="P781" s="90">
        <f t="shared" si="315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4"/>
        <v>0</v>
      </c>
      <c r="P782" s="90">
        <f t="shared" si="315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6">I800</f>
        <v>0</v>
      </c>
      <c r="J785" s="798">
        <f t="shared" ca="1" si="316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7">L787+L788</f>
        <v>0</v>
      </c>
      <c r="M786" s="191">
        <f t="shared" si="317"/>
        <v>0</v>
      </c>
      <c r="N786" s="191">
        <f t="shared" si="317"/>
        <v>0</v>
      </c>
      <c r="O786" s="191">
        <f t="shared" ref="O786:O791" ca="1" si="318">IF(L786&gt;0,N786*100/L786,0)</f>
        <v>0</v>
      </c>
      <c r="P786" s="191">
        <f t="shared" ref="P786:P791" si="319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0">L790+L797</f>
        <v>0</v>
      </c>
      <c r="M787" s="90">
        <f t="shared" si="320"/>
        <v>0</v>
      </c>
      <c r="N787" s="90">
        <f t="shared" si="320"/>
        <v>0</v>
      </c>
      <c r="O787" s="90">
        <f t="shared" si="318"/>
        <v>0</v>
      </c>
      <c r="P787" s="90">
        <f t="shared" si="319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0"/>
        <v>0</v>
      </c>
      <c r="M788" s="90">
        <f t="shared" si="320"/>
        <v>0</v>
      </c>
      <c r="N788" s="90">
        <f t="shared" si="320"/>
        <v>0</v>
      </c>
      <c r="O788" s="90">
        <f t="shared" ca="1" si="318"/>
        <v>0</v>
      </c>
      <c r="P788" s="90">
        <f t="shared" si="319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1">L790+L791</f>
        <v>0</v>
      </c>
      <c r="M789" s="495">
        <f t="shared" si="321"/>
        <v>0</v>
      </c>
      <c r="N789" s="495">
        <f t="shared" si="321"/>
        <v>0</v>
      </c>
      <c r="O789" s="495">
        <f t="shared" ca="1" si="318"/>
        <v>0</v>
      </c>
      <c r="P789" s="495">
        <f t="shared" si="319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8"/>
        <v>0</v>
      </c>
      <c r="P790" s="90">
        <f t="shared" si="319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IFERROR(__xludf.DUMMYFUNCTION("IMPORTRANGE(""https://docs.google.com/spreadsheets/d/1QqKyyYR6Q21VydFLVH3TRQUabQu_ym0Zz7PgGX0-kHA/edit?usp=sharing"",""แผน!JJ64"")"),0)</f>
        <v>0</v>
      </c>
      <c r="M791" s="90">
        <v>0</v>
      </c>
      <c r="N791" s="90">
        <f>N792+N793+N794+N795</f>
        <v>0</v>
      </c>
      <c r="O791" s="90">
        <f t="shared" ca="1" si="318"/>
        <v>0</v>
      </c>
      <c r="P791" s="90">
        <f t="shared" si="319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2">L797+L798</f>
        <v>0</v>
      </c>
      <c r="M796" s="495">
        <f t="shared" si="322"/>
        <v>0</v>
      </c>
      <c r="N796" s="495">
        <f t="shared" si="322"/>
        <v>0</v>
      </c>
      <c r="O796" s="495">
        <f t="shared" ref="O796:O798" si="323">IF(L796&gt;0,N796*100/L796,0)</f>
        <v>0</v>
      </c>
      <c r="P796" s="495">
        <f t="shared" ref="P796:P798" si="324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3"/>
        <v>0</v>
      </c>
      <c r="P797" s="90">
        <f t="shared" si="324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3"/>
        <v>0</v>
      </c>
      <c r="P798" s="90">
        <f t="shared" si="324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IFERROR(__xludf.DUMMYFUNCTION("IMPORTRANGE(""https://docs.google.com/spreadsheets/d/1QqKyyYR6Q21VydFLVH3TRQUabQu_ym0Zz7PgGX0-kHA/edit?usp=sharing"",""แผน!JN64"")"),0)</f>
        <v>0</v>
      </c>
      <c r="J800" s="180">
        <f ca="1">IFERROR(__xludf.DUMMYFUNCTION("IMPORTRANGE(""https://docs.google.com/spreadsheets/d/1MaWodYyGHDf7siQLGxnXhG4mBNTNIuy296niS2xXulU/edit?usp=sharing"",""RTK!H64"")"),0)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IFERROR(__xludf.DUMMYFUNCTION("IMPORTRANGE(""https://docs.google.com/spreadsheets/d/1MaWodYyGHDf7siQLGxnXhG4mBNTNIuy296niS2xXulU/edit?usp=sharing"",""RTK!I64"")"),0)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5">L806+L807</f>
        <v>0</v>
      </c>
      <c r="M805" s="639">
        <f t="shared" si="325"/>
        <v>0</v>
      </c>
      <c r="N805" s="639">
        <f t="shared" si="325"/>
        <v>0</v>
      </c>
      <c r="O805" s="639">
        <f t="shared" ref="O805:O810" si="326">IF(L805&gt;0,N805*100/L805,0)</f>
        <v>0</v>
      </c>
      <c r="P805" s="639">
        <f t="shared" ref="P805:P810" si="327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8">L809+L816</f>
        <v>0</v>
      </c>
      <c r="M806" s="90">
        <f t="shared" si="328"/>
        <v>0</v>
      </c>
      <c r="N806" s="90">
        <f t="shared" si="328"/>
        <v>0</v>
      </c>
      <c r="O806" s="90">
        <f t="shared" si="326"/>
        <v>0</v>
      </c>
      <c r="P806" s="90">
        <f t="shared" si="327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8"/>
        <v>0</v>
      </c>
      <c r="M807" s="90">
        <f t="shared" si="328"/>
        <v>0</v>
      </c>
      <c r="N807" s="90">
        <f t="shared" si="328"/>
        <v>0</v>
      </c>
      <c r="O807" s="90">
        <f t="shared" si="326"/>
        <v>0</v>
      </c>
      <c r="P807" s="90">
        <f t="shared" si="327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29">L809+L810</f>
        <v>0</v>
      </c>
      <c r="M808" s="639">
        <f t="shared" si="329"/>
        <v>0</v>
      </c>
      <c r="N808" s="639">
        <f t="shared" si="329"/>
        <v>0</v>
      </c>
      <c r="O808" s="639">
        <f t="shared" si="326"/>
        <v>0</v>
      </c>
      <c r="P808" s="639">
        <f t="shared" si="327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6"/>
        <v>0</v>
      </c>
      <c r="P809" s="90">
        <f t="shared" si="327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6"/>
        <v>0</v>
      </c>
      <c r="P810" s="90">
        <f t="shared" si="327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0">L816+L817</f>
        <v>0</v>
      </c>
      <c r="M815" s="639">
        <f t="shared" si="330"/>
        <v>0</v>
      </c>
      <c r="N815" s="639">
        <f t="shared" si="330"/>
        <v>0</v>
      </c>
      <c r="O815" s="639">
        <f t="shared" ref="O815:O817" si="331">IF(L815&gt;0,N815*100/L815,0)</f>
        <v>0</v>
      </c>
      <c r="P815" s="639">
        <f t="shared" ref="P815:P817" si="332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1"/>
        <v>0</v>
      </c>
      <c r="P816" s="90">
        <f t="shared" si="332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1"/>
        <v>0</v>
      </c>
      <c r="P817" s="90">
        <f t="shared" si="332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264">
        <f ca="1">IFERROR(__xludf.DUMMYFUNCTION("IMPORTRANGE(""https://docs.google.com/spreadsheets/d/19vJNZY_5yjcGF2XGBMNZRCAIB0Kwfpjp8YEOfu-bneM/edit?usp=sharing"",""งานกองทุน!F64"")"),28975.34)</f>
        <v>28975.34</v>
      </c>
      <c r="K821" s="495">
        <f t="shared" ref="K821:K828" ca="1" si="333">IF(I821&gt;0,J821*100/I821,0)</f>
        <v>1.407020559303412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IFERROR(__xludf.DUMMYFUNCTION("IMPORTRANGE(""https://docs.google.com/spreadsheets/d/19vJNZY_5yjcGF2XGBMNZRCAIB0Kwfpjp8YEOfu-bneM/edit?usp=sharing"",""งานกองทุน!C64"")"),110)</f>
        <v>110</v>
      </c>
      <c r="J822" s="264">
        <f ca="1">IFERROR(__xludf.DUMMYFUNCTION("IMPORTRANGE(""https://docs.google.com/spreadsheets/d/19vJNZY_5yjcGF2XGBMNZRCAIB0Kwfpjp8YEOfu-bneM/edit?usp=sharing"",""งานกองทุน!E64"")"),1)</f>
        <v>1</v>
      </c>
      <c r="K822" s="495">
        <f t="shared" ca="1" si="333"/>
        <v>0.90909090909090906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264">
        <f ca="1">IFERROR(__xludf.DUMMYFUNCTION("IMPORTRANGE(""https://docs.google.com/spreadsheets/d/19vJNZY_5yjcGF2XGBMNZRCAIB0Kwfpjp8YEOfu-bneM/edit?usp=sharing"",""งานกองทุน!K64"")"),86285.24)</f>
        <v>86285.24</v>
      </c>
      <c r="K823" s="495">
        <f t="shared" ca="1" si="333"/>
        <v>1.4202024516541822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IFERROR(__xludf.DUMMYFUNCTION("IMPORTRANGE(""https://docs.google.com/spreadsheets/d/19vJNZY_5yjcGF2XGBMNZRCAIB0Kwfpjp8YEOfu-bneM/edit?usp=sharing"",""งานกองทุน!H64"")"),205)</f>
        <v>205</v>
      </c>
      <c r="J824" s="264">
        <f ca="1">IFERROR(__xludf.DUMMYFUNCTION("IMPORTRANGE(""https://docs.google.com/spreadsheets/d/19vJNZY_5yjcGF2XGBMNZRCAIB0Kwfpjp8YEOfu-bneM/edit?usp=sharing"",""งานกองทุน!J64"")"),10)</f>
        <v>10</v>
      </c>
      <c r="K824" s="495">
        <f t="shared" ca="1" si="333"/>
        <v>4.8780487804878048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IFERROR(__xludf.DUMMYFUNCTION("IMPORTRANGE(""https://docs.google.com/spreadsheets/d/19vJNZY_5yjcGF2XGBMNZRCAIB0Kwfpjp8YEOfu-bneM/edit?usp=sharing"",""งานกองทุน!N64"")"),1424793.2)</f>
        <v>1424793.2</v>
      </c>
      <c r="J825" s="264">
        <f ca="1">IFERROR(__xludf.DUMMYFUNCTION("IMPORTRANGE(""https://docs.google.com/spreadsheets/d/19vJNZY_5yjcGF2XGBMNZRCAIB0Kwfpjp8YEOfu-bneM/edit?usp=sharing"",""งานกองทุน!P64"")"),6299.84)</f>
        <v>6299.84</v>
      </c>
      <c r="K825" s="495">
        <f t="shared" ca="1" si="333"/>
        <v>0.44215820232718689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IFERROR(__xludf.DUMMYFUNCTION("IMPORTRANGE(""https://docs.google.com/spreadsheets/d/19vJNZY_5yjcGF2XGBMNZRCAIB0Kwfpjp8YEOfu-bneM/edit?usp=sharing"",""งานกองทุน!M64"")"),1447)</f>
        <v>1447</v>
      </c>
      <c r="J826" s="264">
        <f ca="1">IFERROR(__xludf.DUMMYFUNCTION("IMPORTRANGE(""https://docs.google.com/spreadsheets/d/19vJNZY_5yjcGF2XGBMNZRCAIB0Kwfpjp8YEOfu-bneM/edit?usp=sharing"",""งานกองทุน!O64"")"),2)</f>
        <v>2</v>
      </c>
      <c r="K826" s="495">
        <f t="shared" ca="1" si="333"/>
        <v>0.138217000691085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IFERROR(__xludf.DUMMYFUNCTION("IMPORTRANGE(""https://docs.google.com/spreadsheets/d/19vJNZY_5yjcGF2XGBMNZRCAIB0Kwfpjp8YEOfu-bneM/edit?usp=sharing"",""งานกองทุน!S64"")"),8180000)</f>
        <v>8180000</v>
      </c>
      <c r="J827" s="264">
        <f ca="1">IFERROR(__xludf.DUMMYFUNCTION("IMPORTRANGE(""https://docs.google.com/spreadsheets/d/19vJNZY_5yjcGF2XGBMNZRCAIB0Kwfpjp8YEOfu-bneM/edit?usp=sharing"",""งานกองทุน!U64"")"),0)</f>
        <v>0</v>
      </c>
      <c r="K827" s="495">
        <f t="shared" ca="1" si="333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IFERROR(__xludf.DUMMYFUNCTION("IMPORTRANGE(""https://docs.google.com/spreadsheets/d/19vJNZY_5yjcGF2XGBMNZRCAIB0Kwfpjp8YEOfu-bneM/edit?usp=sharing"",""งานกองทุน!R64"")"),327)</f>
        <v>327</v>
      </c>
      <c r="J828" s="498">
        <f ca="1">IFERROR(__xludf.DUMMYFUNCTION("IMPORTRANGE(""https://docs.google.com/spreadsheets/d/19vJNZY_5yjcGF2XGBMNZRCAIB0Kwfpjp8YEOfu-bneM/edit?usp=sharing"",""งานกองทุน!T64"")"),49)</f>
        <v>49</v>
      </c>
      <c r="K828" s="499">
        <f t="shared" ca="1" si="333"/>
        <v>14.984709480122325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5891-8C41-475C-BE1C-8AF858A60F7A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350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2689293</v>
      </c>
      <c r="M8" s="21">
        <f t="shared" ca="1" si="0"/>
        <v>1173490</v>
      </c>
      <c r="N8" s="21">
        <f t="shared" ca="1" si="0"/>
        <v>593247.28</v>
      </c>
      <c r="O8" s="21">
        <f t="shared" ref="O8:O16" ca="1" si="1">IF(L8&gt;0,N8*100/L8,0)</f>
        <v>22.059600051017124</v>
      </c>
      <c r="P8" s="21">
        <f t="shared" ref="P8:P16" ca="1" si="2">IF(M8&gt;0,N8*100/M8,0)</f>
        <v>50.554097606285524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2689293</v>
      </c>
      <c r="M10" s="29">
        <f t="shared" ca="1" si="3"/>
        <v>1173490</v>
      </c>
      <c r="N10" s="29">
        <f t="shared" ca="1" si="3"/>
        <v>593247.28</v>
      </c>
      <c r="O10" s="29">
        <f t="shared" ca="1" si="1"/>
        <v>22.059600051017124</v>
      </c>
      <c r="P10" s="29">
        <f t="shared" ca="1" si="2"/>
        <v>50.554097606285524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2615393</v>
      </c>
      <c r="M11" s="495">
        <f t="shared" ca="1" si="4"/>
        <v>1099590</v>
      </c>
      <c r="N11" s="495">
        <f t="shared" ca="1" si="4"/>
        <v>519347.28</v>
      </c>
      <c r="O11" s="495">
        <f t="shared" ca="1" si="1"/>
        <v>19.857332339728675</v>
      </c>
      <c r="P11" s="495">
        <f t="shared" ca="1" si="2"/>
        <v>47.230993370256186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2615393</v>
      </c>
      <c r="M13" s="90">
        <f t="shared" ca="1" si="5"/>
        <v>1099590</v>
      </c>
      <c r="N13" s="90">
        <f t="shared" ca="1" si="5"/>
        <v>519347.28</v>
      </c>
      <c r="O13" s="90">
        <f t="shared" ca="1" si="1"/>
        <v>19.857332339728675</v>
      </c>
      <c r="P13" s="90">
        <f t="shared" ca="1" si="2"/>
        <v>47.230993370256186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73900</v>
      </c>
      <c r="M14" s="495">
        <f t="shared" ca="1" si="6"/>
        <v>73900</v>
      </c>
      <c r="N14" s="495">
        <f t="shared" ca="1" si="6"/>
        <v>73900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73900</v>
      </c>
      <c r="M16" s="51">
        <f t="shared" ca="1" si="7"/>
        <v>73900</v>
      </c>
      <c r="N16" s="51">
        <f t="shared" ca="1" si="7"/>
        <v>73900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2195810</v>
      </c>
      <c r="M18" s="21">
        <f t="shared" ca="1" si="8"/>
        <v>1173490</v>
      </c>
      <c r="N18" s="21">
        <f t="shared" ca="1" si="8"/>
        <v>593247.28</v>
      </c>
      <c r="O18" s="21">
        <f t="shared" ref="O18:O26" ca="1" si="9">IF(L18&gt;0,N18*100/L18,0)</f>
        <v>27.017241018120874</v>
      </c>
      <c r="P18" s="21">
        <f t="shared" ref="P18:P26" ca="1" si="10">IF(M18&gt;0,N18*100/M18,0)</f>
        <v>50.554097606285524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2195810</v>
      </c>
      <c r="M20" s="29">
        <f t="shared" ca="1" si="11"/>
        <v>1173490</v>
      </c>
      <c r="N20" s="29">
        <f t="shared" ca="1" si="11"/>
        <v>593247.28</v>
      </c>
      <c r="O20" s="29">
        <f t="shared" ca="1" si="9"/>
        <v>27.017241018120874</v>
      </c>
      <c r="P20" s="29">
        <f t="shared" ca="1" si="10"/>
        <v>50.554097606285524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2121910</v>
      </c>
      <c r="M21" s="495">
        <f t="shared" ca="1" si="12"/>
        <v>1099590</v>
      </c>
      <c r="N21" s="495">
        <f t="shared" ca="1" si="12"/>
        <v>519347.28</v>
      </c>
      <c r="O21" s="495">
        <f t="shared" ca="1" si="9"/>
        <v>24.475462201507131</v>
      </c>
      <c r="P21" s="495">
        <f t="shared" ca="1" si="10"/>
        <v>47.230993370256186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2121910</v>
      </c>
      <c r="M23" s="90">
        <f t="shared" ca="1" si="13"/>
        <v>1099590</v>
      </c>
      <c r="N23" s="90">
        <f t="shared" ca="1" si="13"/>
        <v>519347.28</v>
      </c>
      <c r="O23" s="90">
        <f t="shared" ca="1" si="9"/>
        <v>24.475462201507131</v>
      </c>
      <c r="P23" s="90">
        <f t="shared" ca="1" si="10"/>
        <v>47.230993370256186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73900</v>
      </c>
      <c r="M24" s="495">
        <f t="shared" ca="1" si="14"/>
        <v>73900</v>
      </c>
      <c r="N24" s="495">
        <f t="shared" ca="1" si="14"/>
        <v>73900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73900</v>
      </c>
      <c r="M26" s="51">
        <f t="shared" ca="1" si="15"/>
        <v>73900</v>
      </c>
      <c r="N26" s="51">
        <f t="shared" ca="1" si="15"/>
        <v>73900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493483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493483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493483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493483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820">
        <f t="shared" ref="L37:N37" ca="1" si="24">L41+L53+L66+L88+L119+L132+L149+L165+L181+L261+L277+L298+L315+L328+L345+L389+L402</f>
        <v>2195810</v>
      </c>
      <c r="M37" s="820">
        <f t="shared" ca="1" si="24"/>
        <v>1173490</v>
      </c>
      <c r="N37" s="820">
        <f t="shared" ca="1" si="24"/>
        <v>593247.28</v>
      </c>
      <c r="O37" s="820">
        <f t="shared" ca="1" si="17"/>
        <v>27.017241018120874</v>
      </c>
      <c r="P37" s="820">
        <f t="shared" ca="1" si="18"/>
        <v>50.554097606285524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355100</v>
      </c>
      <c r="M41" s="82">
        <f t="shared" ca="1" si="25"/>
        <v>178900</v>
      </c>
      <c r="N41" s="82">
        <f t="shared" ca="1" si="25"/>
        <v>62200</v>
      </c>
      <c r="O41" s="82">
        <f t="shared" ref="O41:O49" ca="1" si="26">IF(L41&gt;0,N41*100/L41,0)</f>
        <v>17.516192621796677</v>
      </c>
      <c r="P41" s="82">
        <f t="shared" ref="P41:P49" ca="1" si="27">IF(M41&gt;0,N41*100/M41,0)</f>
        <v>34.768026830631641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355100</v>
      </c>
      <c r="M43" s="89">
        <f t="shared" ca="1" si="28"/>
        <v>178900</v>
      </c>
      <c r="N43" s="89">
        <f t="shared" ca="1" si="28"/>
        <v>62200</v>
      </c>
      <c r="O43" s="89">
        <f t="shared" ca="1" si="26"/>
        <v>17.516192621796677</v>
      </c>
      <c r="P43" s="89">
        <f t="shared" ca="1" si="27"/>
        <v>34.768026830631641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355100</v>
      </c>
      <c r="M44" s="495">
        <f t="shared" ca="1" si="29"/>
        <v>178900</v>
      </c>
      <c r="N44" s="495">
        <f t="shared" ca="1" si="29"/>
        <v>62200</v>
      </c>
      <c r="O44" s="495">
        <f t="shared" ca="1" si="26"/>
        <v>17.516192621796677</v>
      </c>
      <c r="P44" s="495">
        <f t="shared" ca="1" si="27"/>
        <v>34.768026830631641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IFERROR(__xludf.DUMMYFUNCTION("IMPORTRANGE(""https://docs.google.com/spreadsheets/d/1MeEWN-I1oV_STSDYn1IFDPWt_1FKiwhDph83XaGc0o0/edit?usp=sharing"",""งบพรบ!M65"")"),355100)</f>
        <v>355100</v>
      </c>
      <c r="M46" s="90">
        <f ca="1">IFERROR(__xludf.DUMMYFUNCTION("IMPORTRANGE(""https://docs.google.com/spreadsheets/d/1MeEWN-I1oV_STSDYn1IFDPWt_1FKiwhDph83XaGc0o0/edit?usp=sharing"",""งบพรบ!R65"")"),178900)</f>
        <v>178900</v>
      </c>
      <c r="N46" s="90">
        <f ca="1">IFERROR(__xludf.DUMMYFUNCTION("IMPORTRANGE(""https://docs.google.com/spreadsheets/d/1MeEWN-I1oV_STSDYn1IFDPWt_1FKiwhDph83XaGc0o0/edit?usp=sharing"",""งบพรบ!T65"")"),62200)</f>
        <v>62200</v>
      </c>
      <c r="O46" s="90">
        <f t="shared" ca="1" si="26"/>
        <v>17.516192621796677</v>
      </c>
      <c r="P46" s="90">
        <f t="shared" ca="1" si="27"/>
        <v>34.768026830631641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IFERROR(__xludf.DUMMYFUNCTION("IMPORTRANGE(""https://docs.google.com/spreadsheets/d/1MeEWN-I1oV_STSDYn1IFDPWt_1FKiwhDph83XaGc0o0/edit?usp=sharing"",""งบพรบ!P65"")"),0)</f>
        <v>0</v>
      </c>
      <c r="M49" s="51">
        <f ca="1">IFERROR(__xludf.DUMMYFUNCTION("IMPORTRANGE(""https://docs.google.com/spreadsheets/d/1MeEWN-I1oV_STSDYn1IFDPWt_1FKiwhDph83XaGc0o0/edit?usp=sharing"",""งบพรบ!S65"")"),0)</f>
        <v>0</v>
      </c>
      <c r="N49" s="51">
        <f ca="1">IFERROR(__xludf.DUMMYFUNCTION("IMPORTRANGE(""https://docs.google.com/spreadsheets/d/1MeEWN-I1oV_STSDYn1IFDPWt_1FKiwhDph83XaGc0o0/edit?usp=sharing"",""งบพรบ!U65"")"),0)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714600</v>
      </c>
      <c r="M53" s="112">
        <f t="shared" ca="1" si="31"/>
        <v>427870</v>
      </c>
      <c r="N53" s="112">
        <f t="shared" ca="1" si="31"/>
        <v>308607.28000000003</v>
      </c>
      <c r="O53" s="112">
        <f t="shared" ref="O53:O61" ca="1" si="32">IF(L53&gt;0,N53*100/L53,0)</f>
        <v>43.186017352364964</v>
      </c>
      <c r="P53" s="112">
        <f t="shared" ref="P53:P61" ca="1" si="33">IF(M53&gt;0,N53*100/M53,0)</f>
        <v>72.126412228013194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714600</v>
      </c>
      <c r="M55" s="119">
        <f t="shared" ca="1" si="34"/>
        <v>427870</v>
      </c>
      <c r="N55" s="119">
        <f t="shared" ca="1" si="34"/>
        <v>308607.28000000003</v>
      </c>
      <c r="O55" s="119">
        <f t="shared" ca="1" si="32"/>
        <v>43.186017352364964</v>
      </c>
      <c r="P55" s="119">
        <f t="shared" ca="1" si="33"/>
        <v>72.126412228013194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686700</v>
      </c>
      <c r="M56" s="495">
        <f t="shared" ca="1" si="35"/>
        <v>399970</v>
      </c>
      <c r="N56" s="495">
        <f t="shared" ca="1" si="35"/>
        <v>280707.28000000003</v>
      </c>
      <c r="O56" s="495">
        <f t="shared" ca="1" si="32"/>
        <v>40.877716615698276</v>
      </c>
      <c r="P56" s="495">
        <f t="shared" ca="1" si="33"/>
        <v>70.18208365627423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IFERROR(__xludf.DUMMYFUNCTION("IMPORTRANGE(""https://docs.google.com/spreadsheets/d/1MeEWN-I1oV_STSDYn1IFDPWt_1FKiwhDph83XaGc0o0/edit?usp=sharing"",""งบพรบ!W65"")"),686700)</f>
        <v>686700</v>
      </c>
      <c r="M58" s="90">
        <f ca="1">IFERROR(__xludf.DUMMYFUNCTION("IMPORTRANGE(""https://docs.google.com/spreadsheets/d/1MeEWN-I1oV_STSDYn1IFDPWt_1FKiwhDph83XaGc0o0/edit?usp=sharing"",""งบพรบ!AB65"")"),399970)</f>
        <v>399970</v>
      </c>
      <c r="N58" s="90">
        <f ca="1">IFERROR(__xludf.DUMMYFUNCTION("IMPORTRANGE(""https://docs.google.com/spreadsheets/d/1MeEWN-I1oV_STSDYn1IFDPWt_1FKiwhDph83XaGc0o0/edit?usp=sharing"",""งบพรบ!AD65"")"),280707.28)</f>
        <v>280707.28000000003</v>
      </c>
      <c r="O58" s="90">
        <f t="shared" ca="1" si="32"/>
        <v>40.877716615698276</v>
      </c>
      <c r="P58" s="90">
        <f t="shared" ca="1" si="33"/>
        <v>70.18208365627423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27900</v>
      </c>
      <c r="M59" s="495">
        <f t="shared" ca="1" si="36"/>
        <v>27900</v>
      </c>
      <c r="N59" s="495">
        <f t="shared" ca="1" si="36"/>
        <v>27900</v>
      </c>
      <c r="O59" s="495">
        <f t="shared" ca="1" si="32"/>
        <v>100</v>
      </c>
      <c r="P59" s="495">
        <f t="shared" ca="1" si="33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IFERROR(__xludf.DUMMYFUNCTION("IMPORTRANGE(""https://docs.google.com/spreadsheets/d/1MeEWN-I1oV_STSDYn1IFDPWt_1FKiwhDph83XaGc0o0/edit?usp=sharing"",""งบพรบ!Z65"")"),27900)</f>
        <v>27900</v>
      </c>
      <c r="M61" s="51">
        <f ca="1">IFERROR(__xludf.DUMMYFUNCTION("IMPORTRANGE(""https://docs.google.com/spreadsheets/d/1MeEWN-I1oV_STSDYn1IFDPWt_1FKiwhDph83XaGc0o0/edit?usp=sharing"",""งบพรบ!AC65"")"),27900)</f>
        <v>27900</v>
      </c>
      <c r="N61" s="51">
        <f ca="1">IFERROR(__xludf.DUMMYFUNCTION("IMPORTRANGE(""https://docs.google.com/spreadsheets/d/1MeEWN-I1oV_STSDYn1IFDPWt_1FKiwhDph83XaGc0o0/edit?usp=sharing"",""งบพรบ!AE65"")"),27900)</f>
        <v>27900</v>
      </c>
      <c r="O61" s="51">
        <f t="shared" ca="1" si="32"/>
        <v>100</v>
      </c>
      <c r="P61" s="51">
        <f t="shared" ca="1" si="33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IFERROR(__xludf.DUMMYFUNCTION("IMPORTRANGE(""https://docs.google.com/spreadsheets/d/1MeEWN-I1oV_STSDYn1IFDPWt_1FKiwhDph83XaGc0o0/edit?usp=sharing"",""งบพรบ!AG65"")"),0)</f>
        <v>0</v>
      </c>
      <c r="M71" s="90">
        <f ca="1">IFERROR(__xludf.DUMMYFUNCTION("IMPORTRANGE(""https://docs.google.com/spreadsheets/d/1MeEWN-I1oV_STSDYn1IFDPWt_1FKiwhDph83XaGc0o0/edit?usp=sharing"",""งบพรบ!AL65"")"),0)</f>
        <v>0</v>
      </c>
      <c r="N71" s="90">
        <f ca="1">IFERROR(__xludf.DUMMYFUNCTION("IMPORTRANGE(""https://docs.google.com/spreadsheets/d/1MeEWN-I1oV_STSDYn1IFDPWt_1FKiwhDph83XaGc0o0/edit?usp=sharing"",""งบพรบ!AN65"")"),0)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IFERROR(__xludf.DUMMYFUNCTION("IMPORTRANGE(""https://docs.google.com/spreadsheets/d/1MeEWN-I1oV_STSDYn1IFDPWt_1FKiwhDph83XaGc0o0/edit?usp=sharing"",""งบพรบ!AJ65"")"),0)</f>
        <v>0</v>
      </c>
      <c r="M74" s="90">
        <f ca="1">IFERROR(__xludf.DUMMYFUNCTION("IMPORTRANGE(""https://docs.google.com/spreadsheets/d/1MeEWN-I1oV_STSDYn1IFDPWt_1FKiwhDph83XaGc0o0/edit?usp=sharing"",""งบพรบ!AM65"")"),0)</f>
        <v>0</v>
      </c>
      <c r="N74" s="90">
        <f ca="1">IFERROR(__xludf.DUMMYFUNCTION("IMPORTRANGE(""https://docs.google.com/spreadsheets/d/1MeEWN-I1oV_STSDYn1IFDPWt_1FKiwhDph83XaGc0o0/edit?usp=sharing"",""งบพรบ!AO65"")"),0)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IFERROR(__xludf.DUMMYFUNCTION("IMPORTRANGE(""https://docs.google.com/spreadsheets/d/1QqKyyYR6Q21VydFLVH3TRQUabQu_ym0Zz7PgGX0-kHA/edit?usp=sharing"",""แผน!H65"")"),0)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IFERROR(__xludf.DUMMYFUNCTION("IMPORTRANGE(""https://docs.google.com/spreadsheets/d/1QqKyyYR6Q21VydFLVH3TRQUabQu_ym0Zz7PgGX0-kHA/edit?usp=sharing"",""แผน!I65"")"),0)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IFERROR(__xludf.DUMMYFUNCTION("IMPORTRANGE(""https://docs.google.com/spreadsheets/d/1QqKyyYR6Q21VydFLVH3TRQUabQu_ym0Zz7PgGX0-kHA/edit?usp=sharing"",""แผน!F65"")"),0)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IFERROR(__xludf.DUMMYFUNCTION("IMPORTRANGE(""https://docs.google.com/spreadsheets/d/1QqKyyYR6Q21VydFLVH3TRQUabQu_ym0Zz7PgGX0-kHA/edit?usp=sharing"",""แผน!G65"")"),0)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IFERROR(__xludf.DUMMYFUNCTION("IMPORTRANGE(""https://docs.google.com/spreadsheets/d/1QqKyyYR6Q21VydFLVH3TRQUabQu_ym0Zz7PgGX0-kHA/edit?usp=sharing"",""แผน!D65"")"),0)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IFERROR(__xludf.DUMMYFUNCTION("IMPORTRANGE(""https://docs.google.com/spreadsheets/d/1QqKyyYR6Q21VydFLVH3TRQUabQu_ym0Zz7PgGX0-kHA/edit?usp=sharing"",""แผน!E65"")"),0)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IFERROR(__xludf.DUMMYFUNCTION("IMPORTRANGE(""https://docs.google.com/spreadsheets/d/1QqKyyYR6Q21VydFLVH3TRQUabQu_ym0Zz7PgGX0-kHA/edit?usp=sharing"",""แผน!J65"")"),0)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60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20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397480</v>
      </c>
      <c r="M88" s="151">
        <f t="shared" ca="1" si="49"/>
        <v>180330</v>
      </c>
      <c r="N88" s="151">
        <f t="shared" ca="1" si="49"/>
        <v>77467</v>
      </c>
      <c r="O88" s="151">
        <f t="shared" ref="O88:O96" ca="1" si="50">IF(L88&gt;0,N88*100/L88,0)</f>
        <v>19.489534064607025</v>
      </c>
      <c r="P88" s="151">
        <f t="shared" ref="P88:P96" ca="1" si="51">IF(M88&gt;0,N88*100/M88,0)</f>
        <v>42.958465036322295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397480</v>
      </c>
      <c r="M90" s="90">
        <f t="shared" ca="1" si="52"/>
        <v>180330</v>
      </c>
      <c r="N90" s="90">
        <f t="shared" ca="1" si="52"/>
        <v>77467</v>
      </c>
      <c r="O90" s="90">
        <f t="shared" ca="1" si="50"/>
        <v>19.489534064607025</v>
      </c>
      <c r="P90" s="90">
        <f t="shared" ca="1" si="51"/>
        <v>42.958465036322295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397480</v>
      </c>
      <c r="M91" s="495">
        <f t="shared" ca="1" si="53"/>
        <v>180330</v>
      </c>
      <c r="N91" s="495">
        <f t="shared" ca="1" si="53"/>
        <v>77467</v>
      </c>
      <c r="O91" s="495">
        <f t="shared" ca="1" si="50"/>
        <v>19.489534064607025</v>
      </c>
      <c r="P91" s="495">
        <f t="shared" ca="1" si="51"/>
        <v>42.958465036322295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IFERROR(__xludf.DUMMYFUNCTION("IMPORTRANGE(""https://docs.google.com/spreadsheets/d/1MeEWN-I1oV_STSDYn1IFDPWt_1FKiwhDph83XaGc0o0/edit?usp=sharing"",""งบพรบ!AQ65"")"),397480)</f>
        <v>397480</v>
      </c>
      <c r="M93" s="90">
        <f ca="1">IFERROR(__xludf.DUMMYFUNCTION("IMPORTRANGE(""https://docs.google.com/spreadsheets/d/1MeEWN-I1oV_STSDYn1IFDPWt_1FKiwhDph83XaGc0o0/edit?usp=sharing"",""งบพรบ!AV65"")"),180330)</f>
        <v>180330</v>
      </c>
      <c r="N93" s="90">
        <f ca="1">IFERROR(__xludf.DUMMYFUNCTION("IMPORTRANGE(""https://docs.google.com/spreadsheets/d/1MeEWN-I1oV_STSDYn1IFDPWt_1FKiwhDph83XaGc0o0/edit?usp=sharing"",""งบพรบ!AX65"")"),77467)</f>
        <v>77467</v>
      </c>
      <c r="O93" s="90">
        <f t="shared" ca="1" si="50"/>
        <v>19.489534064607025</v>
      </c>
      <c r="P93" s="90">
        <f t="shared" ca="1" si="51"/>
        <v>42.958465036322295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IFERROR(__xludf.DUMMYFUNCTION("IMPORTRANGE(""https://docs.google.com/spreadsheets/d/1MeEWN-I1oV_STSDYn1IFDPWt_1FKiwhDph83XaGc0o0/edit?usp=sharing"",""งบพรบ!AT65"")"),0)</f>
        <v>0</v>
      </c>
      <c r="M96" s="90">
        <f ca="1">IFERROR(__xludf.DUMMYFUNCTION("IMPORTRANGE(""https://docs.google.com/spreadsheets/d/1MeEWN-I1oV_STSDYn1IFDPWt_1FKiwhDph83XaGc0o0/edit?usp=sharing"",""งบพรบ!AW65"")"),0)</f>
        <v>0</v>
      </c>
      <c r="N96" s="90">
        <f ca="1">IFERROR(__xludf.DUMMYFUNCTION("IMPORTRANGE(""https://docs.google.com/spreadsheets/d/1MeEWN-I1oV_STSDYn1IFDPWt_1FKiwhDph83XaGc0o0/edit?usp=sharing"",""งบพรบ!AY65"")"),0)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IFERROR(__xludf.DUMMYFUNCTION("IMPORTRANGE(""https://docs.google.com/spreadsheets/d/1QqKyyYR6Q21VydFLVH3TRQUabQu_ym0Zz7PgGX0-kHA/edit?usp=sharing"",""แผน!K65"")"),60)</f>
        <v>60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IFERROR(__xludf.DUMMYFUNCTION("IMPORTRANGE(""https://docs.google.com/spreadsheets/d/1QqKyyYR6Q21VydFLVH3TRQUabQu_ym0Zz7PgGX0-kHA/edit?usp=sharing"",""แผน!L65"")"),20)</f>
        <v>20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IFERROR(__xludf.DUMMYFUNCTION("IMPORTRANGE(""https://docs.google.com/spreadsheets/d/1QqKyyYR6Q21VydFLVH3TRQUabQu_ym0Zz7PgGX0-kHA/edit?usp=sharing"",""แผน!M65"")"),2)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IFERROR(__xludf.DUMMYFUNCTION("IMPORTRANGE(""https://docs.google.com/spreadsheets/d/1QqKyyYR6Q21VydFLVH3TRQUabQu_ym0Zz7PgGX0-kHA/edit?usp=sharing"",""แผน!N65"")"),60)</f>
        <v>60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IFERROR(__xludf.DUMMYFUNCTION("IMPORTRANGE(""https://docs.google.com/spreadsheets/d/1QqKyyYR6Q21VydFLVH3TRQUabQu_ym0Zz7PgGX0-kHA/edit?usp=sharing"",""แผน!O65"")"),20)</f>
        <v>20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IFERROR(__xludf.DUMMYFUNCTION("IMPORTRANGE(""https://docs.google.com/spreadsheets/d/1QqKyyYR6Q21VydFLVH3TRQUabQu_ym0Zz7PgGX0-kHA/edit?usp=sharing"",""แผน!O65"")"),20)</f>
        <v>20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IFERROR(__xludf.DUMMYFUNCTION("IMPORTRANGE(""https://docs.google.com/spreadsheets/d/1QqKyyYR6Q21VydFLVH3TRQUabQu_ym0Zz7PgGX0-kHA/edit?usp=sharing"",""แผน!P65"")"),1)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IFERROR(__xludf.DUMMYFUNCTION("IMPORTRANGE(""https://docs.google.com/spreadsheets/d/1QqKyyYR6Q21VydFLVH3TRQUabQu_ym0Zz7PgGX0-kHA/edit?usp=sharing"",""แผน!P65"")"),1)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IFERROR(__xludf.DUMMYFUNCTION("IMPORTRANGE(""https://docs.google.com/spreadsheets/d/1QqKyyYR6Q21VydFLVH3TRQUabQu_ym0Zz7PgGX0-kHA/edit?usp=sharing"",""แผน!Q65"")"),1)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IFERROR(__xludf.DUMMYFUNCTION("IMPORTRANGE(""https://docs.google.com/spreadsheets/d/1QqKyyYR6Q21VydFLVH3TRQUabQu_ym0Zz7PgGX0-kHA/edit?usp=sharing"",""แผน!Q65"")"),1)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IFERROR(__xludf.DUMMYFUNCTION("IMPORTRANGE(""https://docs.google.com/spreadsheets/d/1QqKyyYR6Q21VydFLVH3TRQUabQu_ym0Zz7PgGX0-kHA/edit?usp=sharing"",""แผน!R65"")"),20)</f>
        <v>20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IFERROR(__xludf.DUMMYFUNCTION("IMPORTRANGE(""https://docs.google.com/spreadsheets/d/1QqKyyYR6Q21VydFLVH3TRQUabQu_ym0Zz7PgGX0-kHA/edit?usp=sharing"",""แผน!R65"")"),20)</f>
        <v>20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IFERROR(__xludf.DUMMYFUNCTION("IMPORTRANGE(""https://docs.google.com/spreadsheets/d/1QqKyyYR6Q21VydFLVH3TRQUabQu_ym0Zz7PgGX0-kHA/edit?usp=sharing"",""แผน!R65"")"),20)</f>
        <v>20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IFERROR(__xludf.DUMMYFUNCTION("IMPORTRANGE(""https://docs.google.com/spreadsheets/d/1QqKyyYR6Q21VydFLVH3TRQUabQu_ym0Zz7PgGX0-kHA/edit?usp=sharing"",""แผน!S65"")"),1)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IFERROR(__xludf.DUMMYFUNCTION("IMPORTRANGE(""https://docs.google.com/spreadsheets/d/1QqKyyYR6Q21VydFLVH3TRQUabQu_ym0Zz7PgGX0-kHA/edit?usp=sharing"",""แผน!T65"")"),1)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IFERROR(__xludf.DUMMYFUNCTION("IMPORTRANGE(""https://docs.google.com/spreadsheets/d/1MeEWN-I1oV_STSDYn1IFDPWt_1FKiwhDph83XaGc0o0/edit?usp=sharing"",""งบพรบ!BA65"")"),0)</f>
        <v>0</v>
      </c>
      <c r="M124" s="90">
        <f ca="1">IFERROR(__xludf.DUMMYFUNCTION("IMPORTRANGE(""https://docs.google.com/spreadsheets/d/1MeEWN-I1oV_STSDYn1IFDPWt_1FKiwhDph83XaGc0o0/edit?usp=sharing"",""งบพรบ!BF65"")"),0)</f>
        <v>0</v>
      </c>
      <c r="N124" s="90">
        <f ca="1">IFERROR(__xludf.DUMMYFUNCTION("IMPORTRANGE(""https://docs.google.com/spreadsheets/d/1MeEWN-I1oV_STSDYn1IFDPWt_1FKiwhDph83XaGc0o0/edit?usp=sharing"",""งบพรบ!BH65"")"),0)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IFERROR(__xludf.DUMMYFUNCTION("IMPORTRANGE(""https://docs.google.com/spreadsheets/d/1MeEWN-I1oV_STSDYn1IFDPWt_1FKiwhDph83XaGc0o0/edit?usp=sharing"",""งบพรบ!BD65"")"),0)</f>
        <v>0</v>
      </c>
      <c r="M127" s="90">
        <f ca="1">IFERROR(__xludf.DUMMYFUNCTION("IMPORTRANGE(""https://docs.google.com/spreadsheets/d/1MeEWN-I1oV_STSDYn1IFDPWt_1FKiwhDph83XaGc0o0/edit?usp=sharing"",""งบพรบ!BG65"")"),0)</f>
        <v>0</v>
      </c>
      <c r="N127" s="90">
        <f ca="1">IFERROR(__xludf.DUMMYFUNCTION("IMPORTRANGE(""https://docs.google.com/spreadsheets/d/1MeEWN-I1oV_STSDYn1IFDPWt_1FKiwhDph83XaGc0o0/edit?usp=sharing"",""งบพรบ!BI65"")"),0)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IFERROR(__xludf.DUMMYFUNCTION("IMPORTRANGE(""https://docs.google.com/spreadsheets/d/1MeEWN-I1oV_STSDYn1IFDPWt_1FKiwhDph83XaGc0o0/edit?usp=sharing"",""งบพรบ!BK65"")"),0)</f>
        <v>0</v>
      </c>
      <c r="M137" s="90">
        <f ca="1">IFERROR(__xludf.DUMMYFUNCTION("IMPORTRANGE(""https://docs.google.com/spreadsheets/d/1MeEWN-I1oV_STSDYn1IFDPWt_1FKiwhDph83XaGc0o0/edit?usp=sharing"",""งบพรบ!BP65"")"),0)</f>
        <v>0</v>
      </c>
      <c r="N137" s="90">
        <f ca="1">IFERROR(__xludf.DUMMYFUNCTION("IMPORTRANGE(""https://docs.google.com/spreadsheets/d/1MeEWN-I1oV_STSDYn1IFDPWt_1FKiwhDph83XaGc0o0/edit?usp=sharing"",""งบพรบ!BR65"")"),0)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IFERROR(__xludf.DUMMYFUNCTION("IMPORTRANGE(""https://docs.google.com/spreadsheets/d/1MeEWN-I1oV_STSDYn1IFDPWt_1FKiwhDph83XaGc0o0/edit?usp=sharing"",""งบพรบ!BN65"")"),0)</f>
        <v>0</v>
      </c>
      <c r="M140" s="90">
        <f ca="1">IFERROR(__xludf.DUMMYFUNCTION("IMPORTRANGE(""https://docs.google.com/spreadsheets/d/1MeEWN-I1oV_STSDYn1IFDPWt_1FKiwhDph83XaGc0o0/edit?usp=sharing"",""งบพรบ!BQ65"")"),0)</f>
        <v>0</v>
      </c>
      <c r="N140" s="90">
        <f ca="1">IFERROR(__xludf.DUMMYFUNCTION("IMPORTRANGE(""https://docs.google.com/spreadsheets/d/1MeEWN-I1oV_STSDYn1IFDPWt_1FKiwhDph83XaGc0o0/edit?usp=sharing"",""งบพรบ!BS65"")"),0)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IFERROR(__xludf.DUMMYFUNCTION("IMPORTRANGE(""https://docs.google.com/spreadsheets/d/1QqKyyYR6Q21VydFLVH3TRQUabQu_ym0Zz7PgGX0-kHA/edit?usp=sharing"",""แผน!U65"")"),0)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IFERROR(__xludf.DUMMYFUNCTION("IMPORTRANGE(""https://docs.google.com/spreadsheets/d/1QqKyyYR6Q21VydFLVH3TRQUabQu_ym0Zz7PgGX0-kHA/edit?usp=sharing"",""แผน!V65"")"),0)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IFERROR(__xludf.DUMMYFUNCTION("IMPORTRANGE(""https://docs.google.com/spreadsheets/d/1QqKyyYR6Q21VydFLVH3TRQUabQu_ym0Zz7PgGX0-kHA/edit?usp=sharing"",""แผน!W65"")"),0)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15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7500</v>
      </c>
      <c r="M149" s="151">
        <f t="shared" ca="1" si="77"/>
        <v>7500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7500</v>
      </c>
      <c r="M151" s="90">
        <f t="shared" ca="1" si="80"/>
        <v>7500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7500</v>
      </c>
      <c r="M152" s="495">
        <f t="shared" ca="1" si="81"/>
        <v>7500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IFERROR(__xludf.DUMMYFUNCTION("IMPORTRANGE(""https://docs.google.com/spreadsheets/d/1MeEWN-I1oV_STSDYn1IFDPWt_1FKiwhDph83XaGc0o0/edit?usp=sharing"",""งบพรบ!BU65"")"),7500)</f>
        <v>7500</v>
      </c>
      <c r="M154" s="90">
        <f ca="1">IFERROR(__xludf.DUMMYFUNCTION("IMPORTRANGE(""https://docs.google.com/spreadsheets/d/1MeEWN-I1oV_STSDYn1IFDPWt_1FKiwhDph83XaGc0o0/edit?usp=sharing"",""งบพรบ!BZ65"")"),7500)</f>
        <v>7500</v>
      </c>
      <c r="N154" s="90">
        <f ca="1">IFERROR(__xludf.DUMMYFUNCTION("IMPORTRANGE(""https://docs.google.com/spreadsheets/d/1MeEWN-I1oV_STSDYn1IFDPWt_1FKiwhDph83XaGc0o0/edit?usp=sharing"",""งบพรบ!CB65"")"),0)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IFERROR(__xludf.DUMMYFUNCTION("IMPORTRANGE(""https://docs.google.com/spreadsheets/d/1MeEWN-I1oV_STSDYn1IFDPWt_1FKiwhDph83XaGc0o0/edit?usp=sharing"",""งบพรบ!BX65"")"),0)</f>
        <v>0</v>
      </c>
      <c r="M157" s="90">
        <f ca="1">IFERROR(__xludf.DUMMYFUNCTION("IMPORTRANGE(""https://docs.google.com/spreadsheets/d/1MeEWN-I1oV_STSDYn1IFDPWt_1FKiwhDph83XaGc0o0/edit?usp=sharing"",""งบพรบ!CA65"")"),0)</f>
        <v>0</v>
      </c>
      <c r="N157" s="90">
        <f ca="1">IFERROR(__xludf.DUMMYFUNCTION("IMPORTRANGE(""https://docs.google.com/spreadsheets/d/1MeEWN-I1oV_STSDYn1IFDPWt_1FKiwhDph83XaGc0o0/edit?usp=sharing"",""งบพรบ!CC65"")"),0)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IFERROR(__xludf.DUMMYFUNCTION("IMPORTRANGE(""https://docs.google.com/spreadsheets/d/1QqKyyYR6Q21VydFLVH3TRQUabQu_ym0Zz7PgGX0-kHA/edit?usp=sharing"",""แผน!X65"")"),15)</f>
        <v>15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20430</v>
      </c>
      <c r="O165" s="150">
        <f t="shared" ref="O165:O173" ca="1" si="85">IF(L165&gt;0,N165*100/L165,0)</f>
        <v>97.054631828978629</v>
      </c>
      <c r="P165" s="150">
        <f t="shared" ref="P165:P173" ca="1" si="86">IF(M165&gt;0,N165*100/M165,0)</f>
        <v>97.054631828978629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20430</v>
      </c>
      <c r="O167" s="90">
        <f t="shared" ca="1" si="85"/>
        <v>97.054631828978629</v>
      </c>
      <c r="P167" s="90">
        <f t="shared" ca="1" si="86"/>
        <v>97.054631828978629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20430</v>
      </c>
      <c r="O168" s="495">
        <f t="shared" ca="1" si="85"/>
        <v>97.054631828978629</v>
      </c>
      <c r="P168" s="495">
        <f t="shared" ca="1" si="86"/>
        <v>97.054631828978629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IFERROR(__xludf.DUMMYFUNCTION("IMPORTRANGE(""https://docs.google.com/spreadsheets/d/1MeEWN-I1oV_STSDYn1IFDPWt_1FKiwhDph83XaGc0o0/edit?usp=sharing"",""งบพรบ!CE65"")"),21050)</f>
        <v>21050</v>
      </c>
      <c r="M170" s="90">
        <f ca="1">IFERROR(__xludf.DUMMYFUNCTION("IMPORTRANGE(""https://docs.google.com/spreadsheets/d/1MeEWN-I1oV_STSDYn1IFDPWt_1FKiwhDph83XaGc0o0/edit?usp=sharing"",""งบพรบ!CJ65"")"),21050)</f>
        <v>21050</v>
      </c>
      <c r="N170" s="90">
        <f ca="1">IFERROR(__xludf.DUMMYFUNCTION("IMPORTRANGE(""https://docs.google.com/spreadsheets/d/1MeEWN-I1oV_STSDYn1IFDPWt_1FKiwhDph83XaGc0o0/edit?usp=sharing"",""งบพรบ!CL65"")"),20430)</f>
        <v>20430</v>
      </c>
      <c r="O170" s="90">
        <f t="shared" ca="1" si="85"/>
        <v>97.054631828978629</v>
      </c>
      <c r="P170" s="90">
        <f t="shared" ca="1" si="86"/>
        <v>97.054631828978629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IFERROR(__xludf.DUMMYFUNCTION("IMPORTRANGE(""https://docs.google.com/spreadsheets/d/1MeEWN-I1oV_STSDYn1IFDPWt_1FKiwhDph83XaGc0o0/edit?usp=sharing"",""งบพรบ!CH65"")"),0)</f>
        <v>0</v>
      </c>
      <c r="M173" s="90">
        <f ca="1">IFERROR(__xludf.DUMMYFUNCTION("IMPORTRANGE(""https://docs.google.com/spreadsheets/d/1MeEWN-I1oV_STSDYn1IFDPWt_1FKiwhDph83XaGc0o0/edit?usp=sharing"",""งบพรบ!CK65"")"),0)</f>
        <v>0</v>
      </c>
      <c r="N173" s="90">
        <f ca="1">IFERROR(__xludf.DUMMYFUNCTION("IMPORTRANGE(""https://docs.google.com/spreadsheets/d/1MeEWN-I1oV_STSDYn1IFDPWt_1FKiwhDph83XaGc0o0/edit?usp=sharing"",""งบพรบ!CM65"")"),0)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IFERROR(__xludf.DUMMYFUNCTION("IMPORTRANGE(""https://docs.google.com/spreadsheets/d/1QqKyyYR6Q21VydFLVH3TRQUabQu_ym0Zz7PgGX0-kHA/edit?usp=sharing"",""แผน!Y65"")"),10)</f>
        <v>10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45500</v>
      </c>
      <c r="M181" s="150">
        <f t="shared" ca="1" si="91"/>
        <v>21000</v>
      </c>
      <c r="N181" s="150">
        <f t="shared" ca="1" si="91"/>
        <v>0</v>
      </c>
      <c r="O181" s="150">
        <f t="shared" ref="O181:O189" ca="1" si="92">IF(L181&gt;0,N181*100/L181,0)</f>
        <v>0</v>
      </c>
      <c r="P181" s="150">
        <f t="shared" ref="P181:P189" ca="1" si="93">IF(M181&gt;0,N181*100/M181,0)</f>
        <v>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45500</v>
      </c>
      <c r="M183" s="90">
        <f t="shared" ca="1" si="94"/>
        <v>21000</v>
      </c>
      <c r="N183" s="90">
        <f t="shared" ca="1" si="94"/>
        <v>0</v>
      </c>
      <c r="O183" s="90">
        <f t="shared" ca="1" si="92"/>
        <v>0</v>
      </c>
      <c r="P183" s="90">
        <f t="shared" ca="1" si="93"/>
        <v>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45500</v>
      </c>
      <c r="M184" s="495">
        <f t="shared" ca="1" si="95"/>
        <v>21000</v>
      </c>
      <c r="N184" s="495">
        <f t="shared" ca="1" si="95"/>
        <v>0</v>
      </c>
      <c r="O184" s="495">
        <f t="shared" ca="1" si="92"/>
        <v>0</v>
      </c>
      <c r="P184" s="495">
        <f t="shared" ca="1" si="93"/>
        <v>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IFERROR(__xludf.DUMMYFUNCTION("IMPORTRANGE(""https://docs.google.com/spreadsheets/d/1MeEWN-I1oV_STSDYn1IFDPWt_1FKiwhDph83XaGc0o0/edit?usp=sharing"",""งบพรบ!CO65"")"),45500)</f>
        <v>45500</v>
      </c>
      <c r="M186" s="90">
        <f ca="1">IFERROR(__xludf.DUMMYFUNCTION("IMPORTRANGE(""https://docs.google.com/spreadsheets/d/1MeEWN-I1oV_STSDYn1IFDPWt_1FKiwhDph83XaGc0o0/edit?usp=sharing"",""งบพรบ!CT65"")"),21000)</f>
        <v>21000</v>
      </c>
      <c r="N186" s="90">
        <f ca="1">IFERROR(__xludf.DUMMYFUNCTION("IMPORTRANGE(""https://docs.google.com/spreadsheets/d/1MeEWN-I1oV_STSDYn1IFDPWt_1FKiwhDph83XaGc0o0/edit?usp=sharing"",""งบพรบ!CV65"")"),0)</f>
        <v>0</v>
      </c>
      <c r="O186" s="90">
        <f t="shared" ca="1" si="92"/>
        <v>0</v>
      </c>
      <c r="P186" s="90">
        <f t="shared" ca="1" si="93"/>
        <v>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IFERROR(__xludf.DUMMYFUNCTION("IMPORTRANGE(""https://docs.google.com/spreadsheets/d/1MeEWN-I1oV_STSDYn1IFDPWt_1FKiwhDph83XaGc0o0/edit?usp=sharing"",""งบพรบ!CR65"")"),0)</f>
        <v>0</v>
      </c>
      <c r="M189" s="90">
        <f ca="1">IFERROR(__xludf.DUMMYFUNCTION("IMPORTRANGE(""https://docs.google.com/spreadsheets/d/1MeEWN-I1oV_STSDYn1IFDPWt_1FKiwhDph83XaGc0o0/edit?usp=sharing"",""งบพรบ!CU65"")"),0)</f>
        <v>0</v>
      </c>
      <c r="N189" s="90">
        <f ca="1">IFERROR(__xludf.DUMMYFUNCTION("IMPORTRANGE(""https://docs.google.com/spreadsheets/d/1MeEWN-I1oV_STSDYn1IFDPWt_1FKiwhDph83XaGc0o0/edit?usp=sharing"",""งบพรบ!CW65"")"),0)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IFERROR(__xludf.DUMMYFUNCTION("IMPORTRANGE(""https://docs.google.com/spreadsheets/d/1QqKyyYR6Q21VydFLVH3TRQUabQu_ym0Zz7PgGX0-kHA/edit?usp=sharing"",""แผน!Z65"")"),6000)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IFERROR(__xludf.DUMMYFUNCTION("IMPORTRANGE(""https://docs.google.com/spreadsheets/d/1QqKyyYR6Q21VydFLVH3TRQUabQu_ym0Zz7PgGX0-kHA/edit?usp=sharing"",""แผน!AC65"")"),4)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2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26000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IFERROR(__xludf.DUMMYFUNCTION("IMPORTRANGE(""https://docs.google.com/spreadsheets/d/1QqKyyYR6Q21VydFLVH3TRQUabQu_ym0Zz7PgGX0-kHA/edit?usp=sharing"",""แผน!AE65"")"),2000)</f>
        <v>2000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IFERROR(__xludf.DUMMYFUNCTION("IMPORTRANGE(""https://docs.google.com/spreadsheets/d/1QqKyyYR6Q21VydFLVH3TRQUabQu_ym0Zz7PgGX0-kHA/edit?usp=sharing"",""แผน!AF65"")"),16000)</f>
        <v>16000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IFERROR(__xludf.DUMMYFUNCTION("IMPORTRANGE(""https://docs.google.com/spreadsheets/d/1QqKyyYR6Q21VydFLVH3TRQUabQu_ym0Zz7PgGX0-kHA/edit?usp=sharing"",""แผน!AG65"")"),8000)</f>
        <v>8000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IFERROR(__xludf.DUMMYFUNCTION("IMPORTRANGE(""https://docs.google.com/spreadsheets/d/1QqKyyYR6Q21VydFLVH3TRQUabQu_ym0Zz7PgGX0-kHA/edit?usp=sharing"",""แผน!AH65"")"),0)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IFERROR(__xludf.DUMMYFUNCTION("IMPORTRANGE(""https://docs.google.com/spreadsheets/d/1QqKyyYR6Q21VydFLVH3TRQUabQu_ym0Zz7PgGX0-kHA/edit?usp=sharing"",""แผน!AI65"")"),2)</f>
        <v>2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2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IFERROR(__xludf.DUMMYFUNCTION("IMPORTRANGE(""https://docs.google.com/spreadsheets/d/1QqKyyYR6Q21VydFLVH3TRQUabQu_ym0Zz7PgGX0-kHA/edit?usp=sharing"",""แผน!AK65"")"),0)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IFERROR(__xludf.DUMMYFUNCTION("IMPORTRANGE(""https://docs.google.com/spreadsheets/d/1QqKyyYR6Q21VydFLVH3TRQUabQu_ym0Zz7PgGX0-kHA/edit?usp=sharing"",""แผน!AL65"")"),0)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IFERROR(__xludf.DUMMYFUNCTION("IMPORTRANGE(""https://docs.google.com/spreadsheets/d/1QqKyyYR6Q21VydFLVH3TRQUabQu_ym0Zz7PgGX0-kHA/edit?usp=sharing"",""แผน!AM65"")"),0)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IFERROR(__xludf.DUMMYFUNCTION("IMPORTRANGE(""https://docs.google.com/spreadsheets/d/1QqKyyYR6Q21VydFLVH3TRQUabQu_ym0Zz7PgGX0-kHA/edit?usp=sharing"",""แผน!AN65"")"),0)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IFERROR(__xludf.DUMMYFUNCTION("IMPORTRANGE(""https://docs.google.com/spreadsheets/d/1QqKyyYR6Q21VydFLVH3TRQUabQu_ym0Zz7PgGX0-kHA/edit?usp=sharing"",""แผน!AN65"")"),0)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30000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13500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IFERROR(__xludf.DUMMYFUNCTION("IMPORTRANGE(""https://docs.google.com/spreadsheets/d/1QqKyyYR6Q21VydFLVH3TRQUabQu_ym0Zz7PgGX0-kHA/edit?usp=sharing"",""แผน!AP65"")"),5000)</f>
        <v>5000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IFERROR(__xludf.DUMMYFUNCTION("IMPORTRANGE(""https://docs.google.com/spreadsheets/d/1QqKyyYR6Q21VydFLVH3TRQUabQu_ym0Zz7PgGX0-kHA/edit?usp=sharing"",""แผน!AQ65"")"),8500)</f>
        <v>8500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IFERROR(__xludf.DUMMYFUNCTION("IMPORTRANGE(""https://docs.google.com/spreadsheets/d/1QqKyyYR6Q21VydFLVH3TRQUabQu_ym0Zz7PgGX0-kHA/edit?usp=sharing"",""แผน!AR65"")"),0)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IFERROR(__xludf.DUMMYFUNCTION("IMPORTRANGE(""https://docs.google.com/spreadsheets/d/1QqKyyYR6Q21VydFLVH3TRQUabQu_ym0Zz7PgGX0-kHA/edit?usp=sharing"",""แผน!AT65"")"),30000)</f>
        <v>30000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IFERROR(__xludf.DUMMYFUNCTION("IMPORTRANGE(""https://docs.google.com/spreadsheets/d/1QqKyyYR6Q21VydFLVH3TRQUabQu_ym0Zz7PgGX0-kHA/edit?usp=sharing"",""แผน!AT65"")"),30000)</f>
        <v>30000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IFERROR(__xludf.DUMMYFUNCTION("IMPORTRANGE(""https://docs.google.com/spreadsheets/d/1QqKyyYR6Q21VydFLVH3TRQUabQu_ym0Zz7PgGX0-kHA/edit?usp=sharing"",""แผน!AS65"")"),0)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0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IFERROR(__xludf.DUMMYFUNCTION("IMPORTRANGE(""https://docs.google.com/spreadsheets/d/1QqKyyYR6Q21VydFLVH3TRQUabQu_ym0Zz7PgGX0-kHA/edit?usp=sharing"",""แผน!AV65"")"),0)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IFERROR(__xludf.DUMMYFUNCTION("IMPORTRANGE(""https://docs.google.com/spreadsheets/d/1QqKyyYR6Q21VydFLVH3TRQUabQu_ym0Zz7PgGX0-kHA/edit?usp=sharing"",""แผน!AW65"")"),0)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IFERROR(__xludf.DUMMYFUNCTION("IMPORTRANGE(""https://docs.google.com/spreadsheets/d/1QqKyyYR6Q21VydFLVH3TRQUabQu_ym0Zz7PgGX0-kHA/edit?usp=sharing"",""แผน!AX65"")"),0)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IFERROR(__xludf.DUMMYFUNCTION("IMPORTRANGE(""https://docs.google.com/spreadsheets/d/1QqKyyYR6Q21VydFLVH3TRQUabQu_ym0Zz7PgGX0-kHA/edit?usp=sharing"",""แผน!AY65"")"),0)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IFERROR(__xludf.DUMMYFUNCTION("IMPORTRANGE(""https://docs.google.com/spreadsheets/d/1QqKyyYR6Q21VydFLVH3TRQUabQu_ym0Zz7PgGX0-kHA/edit?usp=sharing"",""แผน!BE65"")"),0)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IFERROR(__xludf.DUMMYFUNCTION("IMPORTRANGE(""https://docs.google.com/spreadsheets/d/1QqKyyYR6Q21VydFLVH3TRQUabQu_ym0Zz7PgGX0-kHA/edit?usp=sharing"",""แผน!AZ65"")"),0)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IFERROR(__xludf.DUMMYFUNCTION("IMPORTRANGE(""https://docs.google.com/spreadsheets/d/1QqKyyYR6Q21VydFLVH3TRQUabQu_ym0Zz7PgGX0-kHA/edit?usp=sharing"",""แผน!BA65"")"),0)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IFERROR(__xludf.DUMMYFUNCTION("IMPORTRANGE(""https://docs.google.com/spreadsheets/d/1QqKyyYR6Q21VydFLVH3TRQUabQu_ym0Zz7PgGX0-kHA/edit?usp=sharing"",""แผน!BB65"")"),0)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IFERROR(__xludf.DUMMYFUNCTION("IMPORTRANGE(""https://docs.google.com/spreadsheets/d/1QqKyyYR6Q21VydFLVH3TRQUabQu_ym0Zz7PgGX0-kHA/edit?usp=sharing"",""แผน!BC65"")"),0)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IFERROR(__xludf.DUMMYFUNCTION("IMPORTRANGE(""https://docs.google.com/spreadsheets/d/1QqKyyYR6Q21VydFLVH3TRQUabQu_ym0Zz7PgGX0-kHA/edit?usp=sharing"",""แผน!BF65"")"),"")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IFERROR(__xludf.DUMMYFUNCTION("IMPORTRANGE(""https://docs.google.com/spreadsheets/d/1MeEWN-I1oV_STSDYn1IFDPWt_1FKiwhDph83XaGc0o0/edit?usp=sharing"",""งบพรบ!CY65"")"),26900)</f>
        <v>26900</v>
      </c>
      <c r="M266" s="90">
        <f ca="1">IFERROR(__xludf.DUMMYFUNCTION("IMPORTRANGE(""https://docs.google.com/spreadsheets/d/1MeEWN-I1oV_STSDYn1IFDPWt_1FKiwhDph83XaGc0o0/edit?usp=sharing"",""งบพรบ!DD65"")"),0)</f>
        <v>0</v>
      </c>
      <c r="N266" s="90">
        <f ca="1">IFERROR(__xludf.DUMMYFUNCTION("IMPORTRANGE(""https://docs.google.com/spreadsheets/d/1MeEWN-I1oV_STSDYn1IFDPWt_1FKiwhDph83XaGc0o0/edit?usp=sharing"",""งบพรบ!DF65"")"),0)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IFERROR(__xludf.DUMMYFUNCTION("IMPORTRANGE(""https://docs.google.com/spreadsheets/d/1MeEWN-I1oV_STSDYn1IFDPWt_1FKiwhDph83XaGc0o0/edit?usp=sharing"",""งบพรบ!DB65"")"),0)</f>
        <v>0</v>
      </c>
      <c r="M269" s="90">
        <f ca="1">IFERROR(__xludf.DUMMYFUNCTION("IMPORTRANGE(""https://docs.google.com/spreadsheets/d/1MeEWN-I1oV_STSDYn1IFDPWt_1FKiwhDph83XaGc0o0/edit?usp=sharing"",""งบพรบ!DE65"")"),0)</f>
        <v>0</v>
      </c>
      <c r="N269" s="90">
        <f ca="1">IFERROR(__xludf.DUMMYFUNCTION("IMPORTRANGE(""https://docs.google.com/spreadsheets/d/1MeEWN-I1oV_STSDYn1IFDPWt_1FKiwhDph83XaGc0o0/edit?usp=sharing"",""งบพรบ!DG65"")"),0)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IFERROR(__xludf.DUMMYFUNCTION("IMPORTRANGE(""https://docs.google.com/spreadsheets/d/1QqKyyYR6Q21VydFLVH3TRQUabQu_ym0Zz7PgGX0-kHA/edit?usp=sharing"",""แผน!EA65"")"),22)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0</v>
      </c>
      <c r="M277" s="151">
        <f t="shared" ca="1" si="124"/>
        <v>0</v>
      </c>
      <c r="N277" s="151">
        <f t="shared" ca="1" si="124"/>
        <v>0</v>
      </c>
      <c r="O277" s="151">
        <f t="shared" ref="O277:O285" ca="1" si="125">IF(L277&gt;0,N277*100/L277,0)</f>
        <v>0</v>
      </c>
      <c r="P277" s="151">
        <f t="shared" ref="P277:P285" ca="1" si="126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0</v>
      </c>
      <c r="M279" s="90">
        <f t="shared" ca="1" si="127"/>
        <v>0</v>
      </c>
      <c r="N279" s="90">
        <f t="shared" ca="1" si="127"/>
        <v>0</v>
      </c>
      <c r="O279" s="90">
        <f t="shared" ca="1" si="125"/>
        <v>0</v>
      </c>
      <c r="P279" s="90">
        <f t="shared" ca="1" si="126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0</v>
      </c>
      <c r="M280" s="495">
        <f t="shared" ca="1" si="128"/>
        <v>0</v>
      </c>
      <c r="N280" s="495">
        <f t="shared" ca="1" si="128"/>
        <v>0</v>
      </c>
      <c r="O280" s="495">
        <f t="shared" ca="1" si="125"/>
        <v>0</v>
      </c>
      <c r="P280" s="495">
        <f t="shared" ca="1" si="126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IFERROR(__xludf.DUMMYFUNCTION("IMPORTRANGE(""https://docs.google.com/spreadsheets/d/1MeEWN-I1oV_STSDYn1IFDPWt_1FKiwhDph83XaGc0o0/edit?usp=sharing"",""งบพรบ!DI65"")"),0)</f>
        <v>0</v>
      </c>
      <c r="M282" s="90">
        <f ca="1">IFERROR(__xludf.DUMMYFUNCTION("IMPORTRANGE(""https://docs.google.com/spreadsheets/d/1MeEWN-I1oV_STSDYn1IFDPWt_1FKiwhDph83XaGc0o0/edit?usp=sharing"",""งบพรบ!DN65"")"),0)</f>
        <v>0</v>
      </c>
      <c r="N282" s="90">
        <f ca="1">IFERROR(__xludf.DUMMYFUNCTION("IMPORTRANGE(""https://docs.google.com/spreadsheets/d/1MeEWN-I1oV_STSDYn1IFDPWt_1FKiwhDph83XaGc0o0/edit?usp=sharing"",""งบพรบ!DP65"")"),0)</f>
        <v>0</v>
      </c>
      <c r="O282" s="90">
        <f t="shared" ca="1" si="125"/>
        <v>0</v>
      </c>
      <c r="P282" s="90">
        <f t="shared" ca="1" si="126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IFERROR(__xludf.DUMMYFUNCTION("IMPORTRANGE(""https://docs.google.com/spreadsheets/d/1MeEWN-I1oV_STSDYn1IFDPWt_1FKiwhDph83XaGc0o0/edit?usp=sharing"",""งบพรบ!DL65"")"),0)</f>
        <v>0</v>
      </c>
      <c r="M285" s="90">
        <f ca="1">IFERROR(__xludf.DUMMYFUNCTION("IMPORTRANGE(""https://docs.google.com/spreadsheets/d/1MeEWN-I1oV_STSDYn1IFDPWt_1FKiwhDph83XaGc0o0/edit?usp=sharing"",""งบพรบ!DO65"")"),0)</f>
        <v>0</v>
      </c>
      <c r="N285" s="90">
        <f ca="1">IFERROR(__xludf.DUMMYFUNCTION("IMPORTRANGE(""https://docs.google.com/spreadsheets/d/1MeEWN-I1oV_STSDYn1IFDPWt_1FKiwhDph83XaGc0o0/edit?usp=sharing"",""งบพรบ!DQ65"")"),0)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IFERROR(__xludf.DUMMYFUNCTION("IMPORTRANGE(""https://docs.google.com/spreadsheets/d/1QqKyyYR6Q21VydFLVH3TRQUabQu_ym0Zz7PgGX0-kHA/edit?usp=sharing"",""แผน!EC65"")"),0)</f>
        <v>0</v>
      </c>
      <c r="J287" s="264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IFERROR(__xludf.DUMMYFUNCTION("IMPORTRANGE(""https://docs.google.com/spreadsheets/d/1QqKyyYR6Q21VydFLVH3TRQUabQu_ym0Zz7PgGX0-kHA/edit?usp=sharing"",""แผน!EB65"")"),0)</f>
        <v>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IFERROR(__xludf.DUMMYFUNCTION("IMPORTRANGE(""https://docs.google.com/spreadsheets/d/1QqKyyYR6Q21VydFLVH3TRQUabQu_ym0Zz7PgGX0-kHA/edit?usp=sharing"",""แผน!EB65"")"),0)</f>
        <v>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IFERROR(__xludf.DUMMYFUNCTION("IMPORTRANGE(""https://docs.google.com/spreadsheets/d/1QqKyyYR6Q21VydFLVH3TRQUabQu_ym0Zz7PgGX0-kHA/edit?usp=sharing"",""แผน!EB65"")"),0)</f>
        <v>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IFERROR(__xludf.DUMMYFUNCTION("IMPORTRANGE(""https://docs.google.com/spreadsheets/d/1QqKyyYR6Q21VydFLVH3TRQUabQu_ym0Zz7PgGX0-kHA/edit?usp=sharing"",""แผน!EB65"")"),0)</f>
        <v>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IFERROR(__xludf.DUMMYFUNCTION("IMPORTRANGE(""https://docs.google.com/spreadsheets/d/1QqKyyYR6Q21VydFLVH3TRQUabQu_ym0Zz7PgGX0-kHA/edit?usp=sharing"",""แผน!EB65"")"),0)</f>
        <v>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 hidden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 hidden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0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 hidden="1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0</v>
      </c>
      <c r="M298" s="151">
        <f t="shared" ca="1" si="134"/>
        <v>0</v>
      </c>
      <c r="N298" s="151">
        <f t="shared" ca="1" si="134"/>
        <v>0</v>
      </c>
      <c r="O298" s="151">
        <f t="shared" ref="O298:O306" ca="1" si="135">IF(L298&gt;0,N298*100/L298,0)</f>
        <v>0</v>
      </c>
      <c r="P298" s="151">
        <f t="shared" ref="P298:P306" ca="1" si="136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0</v>
      </c>
      <c r="M300" s="90">
        <f t="shared" ca="1" si="137"/>
        <v>0</v>
      </c>
      <c r="N300" s="90">
        <f t="shared" ca="1" si="137"/>
        <v>0</v>
      </c>
      <c r="O300" s="90">
        <f t="shared" ca="1" si="135"/>
        <v>0</v>
      </c>
      <c r="P300" s="90">
        <f t="shared" ca="1" si="136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0</v>
      </c>
      <c r="M301" s="495">
        <f t="shared" ca="1" si="138"/>
        <v>0</v>
      </c>
      <c r="N301" s="495">
        <f t="shared" ca="1" si="138"/>
        <v>0</v>
      </c>
      <c r="O301" s="495">
        <f t="shared" ca="1" si="135"/>
        <v>0</v>
      </c>
      <c r="P301" s="495">
        <f t="shared" ca="1" si="136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IFERROR(__xludf.DUMMYFUNCTION("IMPORTRANGE(""https://docs.google.com/spreadsheets/d/1MeEWN-I1oV_STSDYn1IFDPWt_1FKiwhDph83XaGc0o0/edit?usp=sharing"",""งบพรบ!DS65"")"),0)</f>
        <v>0</v>
      </c>
      <c r="M303" s="90">
        <f ca="1">IFERROR(__xludf.DUMMYFUNCTION("IMPORTRANGE(""https://docs.google.com/spreadsheets/d/1MeEWN-I1oV_STSDYn1IFDPWt_1FKiwhDph83XaGc0o0/edit?usp=sharing"",""งบพรบ!DX65"")"),0)</f>
        <v>0</v>
      </c>
      <c r="N303" s="90">
        <f ca="1">IFERROR(__xludf.DUMMYFUNCTION("IMPORTRANGE(""https://docs.google.com/spreadsheets/d/1MeEWN-I1oV_STSDYn1IFDPWt_1FKiwhDph83XaGc0o0/edit?usp=sharing"",""งบพรบ!DZ65"")"),0)</f>
        <v>0</v>
      </c>
      <c r="O303" s="90">
        <f t="shared" ca="1" si="135"/>
        <v>0</v>
      </c>
      <c r="P303" s="90">
        <f t="shared" ca="1" si="136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IFERROR(__xludf.DUMMYFUNCTION("IMPORTRANGE(""https://docs.google.com/spreadsheets/d/1MeEWN-I1oV_STSDYn1IFDPWt_1FKiwhDph83XaGc0o0/edit?usp=sharing"",""งบพรบ!DV65"")"),0)</f>
        <v>0</v>
      </c>
      <c r="M306" s="90">
        <f ca="1">IFERROR(__xludf.DUMMYFUNCTION("IMPORTRANGE(""https://docs.google.com/spreadsheets/d/1MeEWN-I1oV_STSDYn1IFDPWt_1FKiwhDph83XaGc0o0/edit?usp=sharing"",""งบพรบ!DY65"")"),0)</f>
        <v>0</v>
      </c>
      <c r="N306" s="90">
        <f ca="1">IFERROR(__xludf.DUMMYFUNCTION("IMPORTRANGE(""https://docs.google.com/spreadsheets/d/1MeEWN-I1oV_STSDYn1IFDPWt_1FKiwhDph83XaGc0o0/edit?usp=sharing"",""งบพรบ!EA65"")"),0)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 hidden="1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 hidden="1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IFERROR(__xludf.DUMMYFUNCTION("IMPORTRANGE(""https://docs.google.com/spreadsheets/d/1QqKyyYR6Q21VydFLVH3TRQUabQu_ym0Zz7PgGX0-kHA/edit?usp=sharing"",""แผน!ED65"")"),0)</f>
        <v>0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 hidden="1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IFERROR(__xludf.DUMMYFUNCTION("IMPORTRANGE(""https://docs.google.com/spreadsheets/d/1QqKyyYR6Q21VydFLVH3TRQUabQu_ym0Zz7PgGX0-kHA/edit?usp=sharing"",""แผน!ED65"")"),0)</f>
        <v>0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 hidden="1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IFERROR(__xludf.DUMMYFUNCTION("IMPORTRANGE(""https://docs.google.com/spreadsheets/d/1QqKyyYR6Q21VydFLVH3TRQUabQu_ym0Zz7PgGX0-kHA/edit?usp=sharing"",""แผน!ED65"")"),0)</f>
        <v>0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 hidden="1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IFERROR(__xludf.DUMMYFUNCTION("IMPORTRANGE(""https://docs.google.com/spreadsheets/d/1QqKyyYR6Q21VydFLVH3TRQUabQu_ym0Zz7PgGX0-kHA/edit?usp=sharing"",""แผน!EE65"")"),0)</f>
        <v>0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IFERROR(__xludf.DUMMYFUNCTION("IMPORTRANGE(""https://docs.google.com/spreadsheets/d/1MeEWN-I1oV_STSDYn1IFDPWt_1FKiwhDph83XaGc0o0/edit?usp=sharing"",""งบพรบ!EC65"")"),0)</f>
        <v>0</v>
      </c>
      <c r="M320" s="90">
        <f ca="1">IFERROR(__xludf.DUMMYFUNCTION("IMPORTRANGE(""https://docs.google.com/spreadsheets/d/1MeEWN-I1oV_STSDYn1IFDPWt_1FKiwhDph83XaGc0o0/edit?usp=sharing"",""งบพรบ!EH65"")"),0)</f>
        <v>0</v>
      </c>
      <c r="N320" s="90">
        <f ca="1">IFERROR(__xludf.DUMMYFUNCTION("IMPORTRANGE(""https://docs.google.com/spreadsheets/d/1MeEWN-I1oV_STSDYn1IFDPWt_1FKiwhDph83XaGc0o0/edit?usp=sharing"",""งบพรบ!EJ65"")"),0)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IFERROR(__xludf.DUMMYFUNCTION("IMPORTRANGE(""https://docs.google.com/spreadsheets/d/1MeEWN-I1oV_STSDYn1IFDPWt_1FKiwhDph83XaGc0o0/edit?usp=sharing"",""งบพรบ!EF65"")"),0)</f>
        <v>0</v>
      </c>
      <c r="M323" s="90">
        <f ca="1">IFERROR(__xludf.DUMMYFUNCTION("IMPORTRANGE(""https://docs.google.com/spreadsheets/d/1MeEWN-I1oV_STSDYn1IFDPWt_1FKiwhDph83XaGc0o0/edit?usp=sharing"",""งบพรบ!EI65"")"),0)</f>
        <v>0</v>
      </c>
      <c r="N323" s="90">
        <f ca="1">IFERROR(__xludf.DUMMYFUNCTION("IMPORTRANGE(""https://docs.google.com/spreadsheets/d/1MeEWN-I1oV_STSDYn1IFDPWt_1FKiwhDph83XaGc0o0/edit?usp=sharing"",""งบพรบ!EK65"")"),0)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IFERROR(__xludf.DUMMYFUNCTION("IMPORTRANGE(""https://docs.google.com/spreadsheets/d/1QqKyyYR6Q21VydFLVH3TRQUabQu_ym0Zz7PgGX0-kHA/edit?usp=sharing"",""แผน!EF65"")"),0)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IFERROR(__xludf.DUMMYFUNCTION("IMPORTRANGE(""https://docs.google.com/spreadsheets/d/1QqKyyYR6Q21VydFLVH3TRQUabQu_ym0Zz7PgGX0-kHA/edit?usp=sharing"",""แผน!EG65"")"),700)</f>
        <v>700</v>
      </c>
      <c r="J327" s="442">
        <f ca="1">J338+J341+J342+J343</f>
        <v>120</v>
      </c>
      <c r="K327" s="443">
        <f ca="1">IF(I327&gt;0,J327*100/I327,0)</f>
        <v>17.142857142857142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161000</v>
      </c>
      <c r="M328" s="151">
        <f t="shared" ca="1" si="148"/>
        <v>80500</v>
      </c>
      <c r="N328" s="151">
        <f t="shared" ca="1" si="148"/>
        <v>20700</v>
      </c>
      <c r="O328" s="151">
        <f t="shared" ref="O328:O336" ca="1" si="149">IF(L328&gt;0,N328*100/L328,0)</f>
        <v>12.857142857142858</v>
      </c>
      <c r="P328" s="151">
        <f t="shared" ref="P328:P336" ca="1" si="150">IF(M328&gt;0,N328*100/M328,0)</f>
        <v>25.714285714285715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161000</v>
      </c>
      <c r="M330" s="90">
        <f t="shared" ca="1" si="151"/>
        <v>80500</v>
      </c>
      <c r="N330" s="90">
        <f t="shared" ca="1" si="151"/>
        <v>20700</v>
      </c>
      <c r="O330" s="90">
        <f t="shared" ca="1" si="149"/>
        <v>12.857142857142858</v>
      </c>
      <c r="P330" s="90">
        <f t="shared" ca="1" si="150"/>
        <v>25.714285714285715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161000</v>
      </c>
      <c r="M331" s="495">
        <f t="shared" ca="1" si="152"/>
        <v>80500</v>
      </c>
      <c r="N331" s="495">
        <f t="shared" ca="1" si="152"/>
        <v>20700</v>
      </c>
      <c r="O331" s="495">
        <f t="shared" ca="1" si="149"/>
        <v>12.857142857142858</v>
      </c>
      <c r="P331" s="495">
        <f t="shared" ca="1" si="150"/>
        <v>25.714285714285715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IFERROR(__xludf.DUMMYFUNCTION("IMPORTRANGE(""https://docs.google.com/spreadsheets/d/1MeEWN-I1oV_STSDYn1IFDPWt_1FKiwhDph83XaGc0o0/edit?usp=sharing"",""งบพรบ!EM65"")"),161000)</f>
        <v>161000</v>
      </c>
      <c r="M333" s="90">
        <f ca="1">IFERROR(__xludf.DUMMYFUNCTION("IMPORTRANGE(""https://docs.google.com/spreadsheets/d/1MeEWN-I1oV_STSDYn1IFDPWt_1FKiwhDph83XaGc0o0/edit?usp=sharing"",""งบพรบ!ER65"")"),80500)</f>
        <v>80500</v>
      </c>
      <c r="N333" s="90">
        <f ca="1">IFERROR(__xludf.DUMMYFUNCTION("IMPORTRANGE(""https://docs.google.com/spreadsheets/d/1MeEWN-I1oV_STSDYn1IFDPWt_1FKiwhDph83XaGc0o0/edit?usp=sharing"",""งบพรบ!ET65"")"),20700)</f>
        <v>20700</v>
      </c>
      <c r="O333" s="90">
        <f t="shared" ca="1" si="149"/>
        <v>12.857142857142858</v>
      </c>
      <c r="P333" s="90">
        <f t="shared" ca="1" si="150"/>
        <v>25.714285714285715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IFERROR(__xludf.DUMMYFUNCTION("IMPORTRANGE(""https://docs.google.com/spreadsheets/d/1MeEWN-I1oV_STSDYn1IFDPWt_1FKiwhDph83XaGc0o0/edit?usp=sharing"",""งบพรบ!EP65"")"),0)</f>
        <v>0</v>
      </c>
      <c r="M336" s="90">
        <f ca="1">IFERROR(__xludf.DUMMYFUNCTION("IMPORTRANGE(""https://docs.google.com/spreadsheets/d/1MeEWN-I1oV_STSDYn1IFDPWt_1FKiwhDph83XaGc0o0/edit?usp=sharing"",""งบพรบ!ES65"")"),0)</f>
        <v>0</v>
      </c>
      <c r="N336" s="90">
        <f ca="1">IFERROR(__xludf.DUMMYFUNCTION("IMPORTRANGE(""https://docs.google.com/spreadsheets/d/1MeEWN-I1oV_STSDYn1IFDPWt_1FKiwhDph83XaGc0o0/edit?usp=sharing"",""งบพรบ!EU65"")"),0)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IFERROR(__xludf.DUMMYFUNCTION("IMPORTRANGE(""https://docs.google.com/spreadsheets/d/1QqKyyYR6Q21VydFLVH3TRQUabQu_ym0Zz7PgGX0-kHA/edit?usp=sharing"",""แผน!EG65"")"),700)</f>
        <v>700</v>
      </c>
      <c r="J338" s="264">
        <f ca="1">IFERROR(__xludf.DUMMYFUNCTION("IMPORTRANGE(""https://docs.google.com/spreadsheets/d/1kVcqe37tkHyjCSG3S0O1AXqVkqjo8mSIZil3BcpIysc/edit?usp=sharing"",""ศูนย์!D65"")"),120)</f>
        <v>120</v>
      </c>
      <c r="K338" s="495">
        <f ca="1">IF(I338&gt;0,J338*100/I338,0)</f>
        <v>17.142857142857142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IFERROR(__xludf.DUMMYFUNCTION("IMPORTRANGE(""https://docs.google.com/spreadsheets/d/1QqKyyYR6Q21VydFLVH3TRQUabQu_ym0Zz7PgGX0-kHA/edit?usp=sharing"",""แผน!EH65"")"),4)</f>
        <v>4</v>
      </c>
      <c r="J340" s="264">
        <f ca="1">IFERROR(__xludf.DUMMYFUNCTION("IMPORTRANGE(""https://docs.google.com/spreadsheets/d/1kVcqe37tkHyjCSG3S0O1AXqVkqjo8mSIZil3BcpIysc/edit?usp=sharing"",""ศูนย์!E65"")"),0)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IFERROR(__xludf.DUMMYFUNCTION("IMPORTRANGE(""https://docs.google.com/spreadsheets/d/1kVcqe37tkHyjCSG3S0O1AXqVkqjo8mSIZil3BcpIysc/edit?usp=sharing"",""ศูนย์!F65"")"),0)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IFERROR(__xludf.DUMMYFUNCTION("IMPORTRANGE(""https://docs.google.com/spreadsheets/d/1kVcqe37tkHyjCSG3S0O1AXqVkqjo8mSIZil3BcpIysc/edit?usp=sharing"",""ศูนย์!G65"")"),0)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IFERROR(__xludf.DUMMYFUNCTION("IMPORTRANGE(""https://docs.google.com/spreadsheets/d/1kVcqe37tkHyjCSG3S0O1AXqVkqjo8mSIZil3BcpIysc/edit?usp=sharing"",""ศูนย์!H65"")"),0)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466680</v>
      </c>
      <c r="M345" s="151">
        <f t="shared" ca="1" si="154"/>
        <v>256340</v>
      </c>
      <c r="N345" s="151">
        <f t="shared" ca="1" si="154"/>
        <v>103843</v>
      </c>
      <c r="O345" s="151">
        <f t="shared" ref="O345:O353" ca="1" si="155">IF(L345&gt;0,N345*100/L345,0)</f>
        <v>22.251435673266478</v>
      </c>
      <c r="P345" s="151">
        <f t="shared" ref="P345:P353" ca="1" si="156">IF(M345&gt;0,N345*100/M345,0)</f>
        <v>40.509869704298978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466680</v>
      </c>
      <c r="M347" s="90">
        <f t="shared" ca="1" si="157"/>
        <v>256340</v>
      </c>
      <c r="N347" s="90">
        <f t="shared" ca="1" si="157"/>
        <v>103843</v>
      </c>
      <c r="O347" s="90">
        <f t="shared" ca="1" si="155"/>
        <v>22.251435673266478</v>
      </c>
      <c r="P347" s="90">
        <f t="shared" ca="1" si="156"/>
        <v>40.509869704298978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420680</v>
      </c>
      <c r="M348" s="495">
        <f t="shared" ca="1" si="158"/>
        <v>210340</v>
      </c>
      <c r="N348" s="495">
        <f t="shared" ca="1" si="158"/>
        <v>57843</v>
      </c>
      <c r="O348" s="495">
        <f t="shared" ca="1" si="155"/>
        <v>13.749881144813159</v>
      </c>
      <c r="P348" s="495">
        <f t="shared" ca="1" si="156"/>
        <v>27.499762289626318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IFERROR(__xludf.DUMMYFUNCTION("IMPORTRANGE(""https://docs.google.com/spreadsheets/d/1MeEWN-I1oV_STSDYn1IFDPWt_1FKiwhDph83XaGc0o0/edit?usp=sharing"",""งบพรบ!EW65"")"),420680)</f>
        <v>420680</v>
      </c>
      <c r="M350" s="90">
        <f ca="1">IFERROR(__xludf.DUMMYFUNCTION("IMPORTRANGE(""https://docs.google.com/spreadsheets/d/1MeEWN-I1oV_STSDYn1IFDPWt_1FKiwhDph83XaGc0o0/edit?usp=sharing"",""งบพรบ!FB65"")"),210340)</f>
        <v>210340</v>
      </c>
      <c r="N350" s="90">
        <f ca="1">IFERROR(__xludf.DUMMYFUNCTION("IMPORTRANGE(""https://docs.google.com/spreadsheets/d/1MeEWN-I1oV_STSDYn1IFDPWt_1FKiwhDph83XaGc0o0/edit?usp=sharing"",""งบพรบ!FD65"")"),57843)</f>
        <v>57843</v>
      </c>
      <c r="O350" s="90">
        <f t="shared" ca="1" si="155"/>
        <v>13.749881144813159</v>
      </c>
      <c r="P350" s="90">
        <f t="shared" ca="1" si="156"/>
        <v>27.499762289626318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46000</v>
      </c>
      <c r="M351" s="495">
        <f t="shared" ca="1" si="159"/>
        <v>46000</v>
      </c>
      <c r="N351" s="495">
        <f t="shared" ca="1" si="159"/>
        <v>46000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IFERROR(__xludf.DUMMYFUNCTION("IMPORTRANGE(""https://docs.google.com/spreadsheets/d/1MeEWN-I1oV_STSDYn1IFDPWt_1FKiwhDph83XaGc0o0/edit?usp=sharing"",""งบพรบ!EZ65"")"),46000)</f>
        <v>46000</v>
      </c>
      <c r="M353" s="90">
        <f ca="1">IFERROR(__xludf.DUMMYFUNCTION("IMPORTRANGE(""https://docs.google.com/spreadsheets/d/1MeEWN-I1oV_STSDYn1IFDPWt_1FKiwhDph83XaGc0o0/edit?usp=sharing"",""งบพรบ!FC65"")"),46000)</f>
        <v>46000</v>
      </c>
      <c r="N353" s="90">
        <f ca="1">IFERROR(__xludf.DUMMYFUNCTION("IMPORTRANGE(""https://docs.google.com/spreadsheets/d/1MeEWN-I1oV_STSDYn1IFDPWt_1FKiwhDph83XaGc0o0/edit?usp=sharing"",""งบพรบ!FE65"")"),46000)</f>
        <v>46000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IFERROR(__xludf.DUMMYFUNCTION("IMPORTRANGE(""https://docs.google.com/spreadsheets/d/1QqKyyYR6Q21VydFLVH3TRQUabQu_ym0Zz7PgGX0-kHA/edit?usp=sharing"",""แผน!EP65"")"),14)</f>
        <v>14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IFERROR(__xludf.DUMMYFUNCTION("IMPORTRANGE(""https://docs.google.com/spreadsheets/d/1XWAQStnk-4SwqDmLtmXYiTMKHgktTP8We1SCoS47DrQ/edit?usp=sharing"",""จัดที่ดิน!W65"")"),0)</f>
        <v>0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IFERROR(__xludf.DUMMYFUNCTION("IMPORTRANGE(""https://docs.google.com/spreadsheets/d/1QqKyyYR6Q21VydFLVH3TRQUabQu_ym0Zz7PgGX0-kHA/edit?usp=sharing"",""แผน!EO65"")"),150)</f>
        <v>150</v>
      </c>
      <c r="J359" s="264">
        <f ca="1">IFERROR(__xludf.DUMMYFUNCTION("IMPORTRANGE(""https://docs.google.com/spreadsheets/d/1XWAQStnk-4SwqDmLtmXYiTMKHgktTP8We1SCoS47DrQ/edit?usp=sharing"",""จัดที่ดิน!X65"")"),0)</f>
        <v>0</v>
      </c>
      <c r="K359" s="495">
        <f t="shared" ca="1" si="160"/>
        <v>0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IFERROR(__xludf.DUMMYFUNCTION("IMPORTRANGE(""https://docs.google.com/spreadsheets/d/1QqKyyYR6Q21VydFLVH3TRQUabQu_ym0Zz7PgGX0-kHA/edit?usp=sharing"",""แผน!EP65"")"),14)</f>
        <v>14</v>
      </c>
      <c r="J360" s="264">
        <f ca="1">IFERROR(__xludf.DUMMYFUNCTION("IMPORTRANGE(""https://docs.google.com/spreadsheets/d/1XWAQStnk-4SwqDmLtmXYiTMKHgktTP8We1SCoS47DrQ/edit?usp=sharing"",""จัดที่ดิน!Y65"")"),0)</f>
        <v>0</v>
      </c>
      <c r="K360" s="495">
        <f t="shared" ca="1" si="160"/>
        <v>0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IFERROR(__xludf.DUMMYFUNCTION("IMPORTRANGE(""https://docs.google.com/spreadsheets/d/1XWAQStnk-4SwqDmLtmXYiTMKHgktTP8We1SCoS47DrQ/edit?usp=sharing"",""จัดที่ดิน!Z65"")"),0)</f>
        <v>0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IFERROR(__xludf.DUMMYFUNCTION("IMPORTRANGE(""https://docs.google.com/spreadsheets/d/1QqKyyYR6Q21VydFLVH3TRQUabQu_ym0Zz7PgGX0-kHA/edit?usp=sharing"",""แผน!EP65"")"),14)</f>
        <v>14</v>
      </c>
      <c r="J362" s="264">
        <f ca="1">IFERROR(__xludf.DUMMYFUNCTION("IMPORTRANGE(""https://docs.google.com/spreadsheets/d/1XWAQStnk-4SwqDmLtmXYiTMKHgktTP8We1SCoS47DrQ/edit?usp=sharing"",""จัดที่ดิน!AA65"")"),0)</f>
        <v>0</v>
      </c>
      <c r="K362" s="495">
        <f t="shared" ca="1" si="160"/>
        <v>0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IFERROR(__xludf.DUMMYFUNCTION("IMPORTRANGE(""https://docs.google.com/spreadsheets/d/1XWAQStnk-4SwqDmLtmXYiTMKHgktTP8We1SCoS47DrQ/edit?usp=sharing"",""จัดที่ดิน!AB65"")"),0)</f>
        <v>0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54</v>
      </c>
      <c r="J364" s="476">
        <f t="shared" ca="1" si="161"/>
        <v>0</v>
      </c>
      <c r="K364" s="477">
        <f t="shared" ca="1" si="160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IFERROR(__xludf.DUMMYFUNCTION("IMPORTRANGE(""https://docs.google.com/spreadsheets/d/1QqKyyYR6Q21VydFLVH3TRQUabQu_ym0Zz7PgGX0-kHA/edit?usp=sharing"",""แผน!EJ65"")"),4)</f>
        <v>4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IFERROR(__xludf.DUMMYFUNCTION("IMPORTRANGE(""https://docs.google.com/spreadsheets/d/1XWAQStnk-4SwqDmLtmXYiTMKHgktTP8We1SCoS47DrQ/edit?usp=sharing"",""จัดที่ดิน!E65"")"),0)</f>
        <v>0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IFERROR(__xludf.DUMMYFUNCTION("IMPORTRANGE(""https://docs.google.com/spreadsheets/d/1QqKyyYR6Q21VydFLVH3TRQUabQu_ym0Zz7PgGX0-kHA/edit?usp=sharing"",""แผน!EI65"")"),50)</f>
        <v>50</v>
      </c>
      <c r="J369" s="264">
        <f ca="1">IFERROR(__xludf.DUMMYFUNCTION("IMPORTRANGE(""https://docs.google.com/spreadsheets/d/1XWAQStnk-4SwqDmLtmXYiTMKHgktTP8We1SCoS47DrQ/edit?usp=sharing"",""จัดที่ดิน!F65"")"),0)</f>
        <v>0</v>
      </c>
      <c r="K369" s="495">
        <f t="shared" ca="1" si="162"/>
        <v>0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IFERROR(__xludf.DUMMYFUNCTION("IMPORTRANGE(""https://docs.google.com/spreadsheets/d/1QqKyyYR6Q21VydFLVH3TRQUabQu_ym0Zz7PgGX0-kHA/edit?usp=sharing"",""แผน!EJ65"")"),4)</f>
        <v>4</v>
      </c>
      <c r="J370" s="264">
        <f ca="1">IFERROR(__xludf.DUMMYFUNCTION("IMPORTRANGE(""https://docs.google.com/spreadsheets/d/1XWAQStnk-4SwqDmLtmXYiTMKHgktTP8We1SCoS47DrQ/edit?usp=sharing"",""จัดที่ดิน!G65"")"),0)</f>
        <v>0</v>
      </c>
      <c r="K370" s="495">
        <f t="shared" ca="1" si="162"/>
        <v>0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IFERROR(__xludf.DUMMYFUNCTION("IMPORTRANGE(""https://docs.google.com/spreadsheets/d/1XWAQStnk-4SwqDmLtmXYiTMKHgktTP8We1SCoS47DrQ/edit?usp=sharing"",""จัดที่ดิน!H65"")"),0)</f>
        <v>0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IFERROR(__xludf.DUMMYFUNCTION("IMPORTRANGE(""https://docs.google.com/spreadsheets/d/1QqKyyYR6Q21VydFLVH3TRQUabQu_ym0Zz7PgGX0-kHA/edit?usp=sharing"",""แผน!EJ65"")"),4)</f>
        <v>4</v>
      </c>
      <c r="J372" s="264">
        <f ca="1">IFERROR(__xludf.DUMMYFUNCTION("IMPORTRANGE(""https://docs.google.com/spreadsheets/d/1XWAQStnk-4SwqDmLtmXYiTMKHgktTP8We1SCoS47DrQ/edit?usp=sharing"",""จัดที่ดิน!I65"")"),0)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IFERROR(__xludf.DUMMYFUNCTION("IMPORTRANGE(""https://docs.google.com/spreadsheets/d/1XWAQStnk-4SwqDmLtmXYiTMKHgktTP8We1SCoS47DrQ/edit?usp=sharing"",""จัดที่ดิน!J65"")"),0)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IFERROR(__xludf.DUMMYFUNCTION("IMPORTRANGE(""https://docs.google.com/spreadsheets/d/1QqKyyYR6Q21VydFLVH3TRQUabQu_ym0Zz7PgGX0-kHA/edit?usp=sharing"",""แผน!EU65"")"),50)</f>
        <v>50</v>
      </c>
      <c r="J374" s="488">
        <f ca="1">J381</f>
        <v>0</v>
      </c>
      <c r="K374" s="489">
        <f t="shared" ca="1" si="162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IFERROR(__xludf.DUMMYFUNCTION("IMPORTRANGE(""https://docs.google.com/spreadsheets/d/1XWAQStnk-4SwqDmLtmXYiTMKHgktTP8We1SCoS47DrQ/edit?usp=sharing"",""จัดที่ดิน!AH65"")"),0)</f>
        <v>0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IFERROR(__xludf.DUMMYFUNCTION("IMPORTRANGE(""https://docs.google.com/spreadsheets/d/1QqKyyYR6Q21VydFLVH3TRQUabQu_ym0Zz7PgGX0-kHA/edit?usp=sharing"",""แผน!ET65"")"),100)</f>
        <v>100</v>
      </c>
      <c r="J378" s="264">
        <f ca="1">IFERROR(__xludf.DUMMYFUNCTION("IMPORTRANGE(""https://docs.google.com/spreadsheets/d/1XWAQStnk-4SwqDmLtmXYiTMKHgktTP8We1SCoS47DrQ/edit?usp=sharing"",""จัดที่ดิน!AI65"")"),0)</f>
        <v>0</v>
      </c>
      <c r="K378" s="495">
        <f t="shared" ca="1" si="163"/>
        <v>0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IFERROR(__xludf.DUMMYFUNCTION("IMPORTRANGE(""https://docs.google.com/spreadsheets/d/1QqKyyYR6Q21VydFLVH3TRQUabQu_ym0Zz7PgGX0-kHA/edit?usp=sharing"",""แผน!EU65"")"),50)</f>
        <v>50</v>
      </c>
      <c r="J379" s="264">
        <f ca="1">IFERROR(__xludf.DUMMYFUNCTION("IMPORTRANGE(""https://docs.google.com/spreadsheets/d/1XWAQStnk-4SwqDmLtmXYiTMKHgktTP8We1SCoS47DrQ/edit?usp=sharing"",""จัดที่ดิน!AJ65"")"),0)</f>
        <v>0</v>
      </c>
      <c r="K379" s="495">
        <f t="shared" ca="1" si="163"/>
        <v>0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IFERROR(__xludf.DUMMYFUNCTION("IMPORTRANGE(""https://docs.google.com/spreadsheets/d/1XWAQStnk-4SwqDmLtmXYiTMKHgktTP8We1SCoS47DrQ/edit?usp=sharing"",""จัดที่ดิน!AK65"")"),0)</f>
        <v>0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IFERROR(__xludf.DUMMYFUNCTION("IMPORTRANGE(""https://docs.google.com/spreadsheets/d/1QqKyyYR6Q21VydFLVH3TRQUabQu_ym0Zz7PgGX0-kHA/edit?usp=sharing"",""แผน!EU65"")"),50)</f>
        <v>50</v>
      </c>
      <c r="J381" s="264">
        <f ca="1">IFERROR(__xludf.DUMMYFUNCTION("IMPORTRANGE(""https://docs.google.com/spreadsheets/d/1XWAQStnk-4SwqDmLtmXYiTMKHgktTP8We1SCoS47DrQ/edit?usp=sharing"",""จัดที่ดิน!AL65"")"),0)</f>
        <v>0</v>
      </c>
      <c r="K381" s="495">
        <f t="shared" ca="1" si="163"/>
        <v>0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IFERROR(__xludf.DUMMYFUNCTION("IMPORTRANGE(""https://docs.google.com/spreadsheets/d/1XWAQStnk-4SwqDmLtmXYiTMKHgktTP8We1SCoS47DrQ/edit?usp=sharing"",""จัดที่ดิน!AM65"")"),0)</f>
        <v>0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IFERROR(__xludf.DUMMYFUNCTION("IMPORTRANGE(""https://docs.google.com/spreadsheets/d/1QqKyyYR6Q21VydFLVH3TRQUabQu_ym0Zz7PgGX0-kHA/edit?usp=sharing"",""แผน!EW65"")"),10)</f>
        <v>10</v>
      </c>
      <c r="J385" s="498">
        <f ca="1">IFERROR(__xludf.DUMMYFUNCTION("IMPORTRANGE(""https://docs.google.com/spreadsheets/d/1XWAQStnk-4SwqDmLtmXYiTMKHgktTP8We1SCoS47DrQ/edit?usp=sharing"",""จัดที่ดิน!AP65"")"),0)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IFERROR(__xludf.DUMMYFUNCTION("IMPORTRANGE(""https://docs.google.com/spreadsheets/d/1MeEWN-I1oV_STSDYn1IFDPWt_1FKiwhDph83XaGc0o0/edit?usp=sharing"",""งบพรบ!FG65"")"),0)</f>
        <v>0</v>
      </c>
      <c r="M394" s="90">
        <f ca="1">IFERROR(__xludf.DUMMYFUNCTION("IMPORTRANGE(""https://docs.google.com/spreadsheets/d/1MeEWN-I1oV_STSDYn1IFDPWt_1FKiwhDph83XaGc0o0/edit?usp=sharing"",""งบพรบ!FL65"")"),0)</f>
        <v>0</v>
      </c>
      <c r="N394" s="90">
        <f ca="1">IFERROR(__xludf.DUMMYFUNCTION("IMPORTRANGE(""https://docs.google.com/spreadsheets/d/1MeEWN-I1oV_STSDYn1IFDPWt_1FKiwhDph83XaGc0o0/edit?usp=sharing"",""งบพรบ!FN65"")"),0)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IFERROR(__xludf.DUMMYFUNCTION("IMPORTRANGE(""https://docs.google.com/spreadsheets/d/1MeEWN-I1oV_STSDYn1IFDPWt_1FKiwhDph83XaGc0o0/edit?usp=sharing"",""งบพรบ!FJ65"")"),0)</f>
        <v>0</v>
      </c>
      <c r="M397" s="90">
        <f ca="1">IFERROR(__xludf.DUMMYFUNCTION("IMPORTRANGE(""https://docs.google.com/spreadsheets/d/1MeEWN-I1oV_STSDYn1IFDPWt_1FKiwhDph83XaGc0o0/edit?usp=sharing"",""งบพรบ!FM65"")"),0)</f>
        <v>0</v>
      </c>
      <c r="N397" s="90">
        <f ca="1">IFERROR(__xludf.DUMMYFUNCTION("IMPORTRANGE(""https://docs.google.com/spreadsheets/d/1MeEWN-I1oV_STSDYn1IFDPWt_1FKiwhDph83XaGc0o0/edit?usp=sharing"",""งบพรบ!FO65"")"),0)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IFERROR(__xludf.DUMMYFUNCTION("IMPORTRANGE(""https://docs.google.com/spreadsheets/d/1MeEWN-I1oV_STSDYn1IFDPWt_1FKiwhDph83XaGc0o0/edit?usp=sharing"",""งบพรบ!FQ65"")"),0)</f>
        <v>0</v>
      </c>
      <c r="M407" s="90">
        <f ca="1">IFERROR(__xludf.DUMMYFUNCTION("IMPORTRANGE(""https://docs.google.com/spreadsheets/d/1MeEWN-I1oV_STSDYn1IFDPWt_1FKiwhDph83XaGc0o0/edit?usp=sharing"",""งบพรบ!FV65"")"),0)</f>
        <v>0</v>
      </c>
      <c r="N407" s="90">
        <f ca="1">IFERROR(__xludf.DUMMYFUNCTION("IMPORTRANGE(""https://docs.google.com/spreadsheets/d/1MeEWN-I1oV_STSDYn1IFDPWt_1FKiwhDph83XaGc0o0/edit?usp=sharing"",""งบพรบ!FX65"")"),0)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IFERROR(__xludf.DUMMYFUNCTION("IMPORTRANGE(""https://docs.google.com/spreadsheets/d/1MeEWN-I1oV_STSDYn1IFDPWt_1FKiwhDph83XaGc0o0/edit?usp=sharing"",""งบพรบ!FT65"")"),0)</f>
        <v>0</v>
      </c>
      <c r="M410" s="90">
        <f ca="1">IFERROR(__xludf.DUMMYFUNCTION("IMPORTRANGE(""https://docs.google.com/spreadsheets/d/1MeEWN-I1oV_STSDYn1IFDPWt_1FKiwhDph83XaGc0o0/edit?usp=sharing"",""งบพรบ!FW65"")"),0)</f>
        <v>0</v>
      </c>
      <c r="N410" s="90">
        <f ca="1">IFERROR(__xludf.DUMMYFUNCTION("IMPORTRANGE(""https://docs.google.com/spreadsheets/d/1MeEWN-I1oV_STSDYn1IFDPWt_1FKiwhDph83XaGc0o0/edit?usp=sharing"",""งบพรบ!FY65"")"),0)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493483</v>
      </c>
      <c r="M414" s="546">
        <f t="shared" si="180"/>
        <v>0</v>
      </c>
      <c r="N414" s="546">
        <f t="shared" si="180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20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2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78660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78660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78660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IFERROR(__xludf.DUMMYFUNCTION("IMPORTRANGE(""https://docs.google.com/spreadsheets/d/1QqKyyYR6Q21VydFLVH3TRQUabQu_ym0Zz7PgGX0-kHA/edit?usp=sharing"",""แผน!EY65"")"),78660)</f>
        <v>78660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IFERROR(__xludf.DUMMYFUNCTION("IMPORTRANGE(""https://docs.google.com/spreadsheets/d/1QqKyyYR6Q21VydFLVH3TRQUabQu_ym0Zz7PgGX0-kHA/edit?usp=sharing"",""แผน!FB65"")"),0)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20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2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IFERROR(__xludf.DUMMYFUNCTION("IMPORTRANGE(""https://docs.google.com/spreadsheets/d/1QqKyyYR6Q21VydFLVH3TRQUabQu_ym0Zz7PgGX0-kHA/edit?usp=sharing"",""แผน!FC65"")"),20)</f>
        <v>20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IFERROR(__xludf.DUMMYFUNCTION("IMPORTRANGE(""https://docs.google.com/spreadsheets/d/1QqKyyYR6Q21VydFLVH3TRQUabQu_ym0Zz7PgGX0-kHA/edit?usp=sharing"",""แผน!FD65"")"),0)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IFERROR(__xludf.DUMMYFUNCTION("IMPORTRANGE(""https://docs.google.com/spreadsheets/d/1QqKyyYR6Q21VydFLVH3TRQUabQu_ym0Zz7PgGX0-kHA/edit?usp=sharing"",""แผน!FE65"")"),0)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IFERROR(__xludf.DUMMYFUNCTION("IMPORTRANGE(""https://docs.google.com/spreadsheets/d/1QqKyyYR6Q21VydFLVH3TRQUabQu_ym0Zz7PgGX0-kHA/edit?usp=sharing"",""แผน!FF65"")"),20)</f>
        <v>20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IFERROR(__xludf.DUMMYFUNCTION("IMPORTRANGE(""https://docs.google.com/spreadsheets/d/1QqKyyYR6Q21VydFLVH3TRQUabQu_ym0Zz7PgGX0-kHA/edit?usp=sharing"",""แผน!FG65"")"),2)</f>
        <v>2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IFERROR(__xludf.DUMMYFUNCTION("IMPORTRANGE(""https://docs.google.com/spreadsheets/d/1QqKyyYR6Q21VydFLVH3TRQUabQu_ym0Zz7PgGX0-kHA/edit?usp=sharing"",""แผน!FH65"")"),0)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IFERROR(__xludf.DUMMYFUNCTION("IMPORTRANGE(""https://docs.google.com/spreadsheets/d/1QqKyyYR6Q21VydFLVH3TRQUabQu_ym0Zz7PgGX0-kHA/edit?usp=sharing"",""แผน!FJ65"")"),0)</f>
        <v>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IFERROR(__xludf.DUMMYFUNCTION("IMPORTRANGE(""https://docs.google.com/spreadsheets/d/1QqKyyYR6Q21VydFLVH3TRQUabQu_ym0Zz7PgGX0-kHA/edit?usp=sharing"",""แผน!FM65"")"),0)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IFERROR(__xludf.DUMMYFUNCTION("IMPORTRANGE(""https://docs.google.com/spreadsheets/d/1QqKyyYR6Q21VydFLVH3TRQUabQu_ym0Zz7PgGX0-kHA/edit?usp=sharing"",""แผน!FN65"")"),0)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IFERROR(__xludf.DUMMYFUNCTION("IMPORTRANGE(""https://docs.google.com/spreadsheets/d/1QqKyyYR6Q21VydFLVH3TRQUabQu_ym0Zz7PgGX0-kHA/edit?usp=sharing"",""แผน!FO65"")"),0)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IFERROR(__xludf.DUMMYFUNCTION("IMPORTRANGE(""https://docs.google.com/spreadsheets/d/1QqKyyYR6Q21VydFLVH3TRQUabQu_ym0Zz7PgGX0-kHA/edit?usp=sharing"",""แผน!FO65"")"),0)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IFERROR(__xludf.DUMMYFUNCTION("IMPORTRANGE(""https://docs.google.com/spreadsheets/d/1QqKyyYR6Q21VydFLVH3TRQUabQu_ym0Zz7PgGX0-kHA/edit?usp=sharing"",""แผน!FN65"")"),0)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IFERROR(__xludf.DUMMYFUNCTION("IMPORTRANGE(""https://docs.google.com/spreadsheets/d/1QqKyyYR6Q21VydFLVH3TRQUabQu_ym0Zz7PgGX0-kHA/edit?usp=sharing"",""แผน!FX65"")"),21)</f>
        <v>21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IFERROR(__xludf.DUMMYFUNCTION("IMPORTRANGE(""https://docs.google.com/spreadsheets/d/1QqKyyYR6Q21VydFLVH3TRQUabQu_ym0Zz7PgGX0-kHA/edit?usp=sharing"",""แผน!FW65"")"),200)</f>
        <v>200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174403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174403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174403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IFERROR(__xludf.DUMMYFUNCTION("IMPORTRANGE(""https://docs.google.com/spreadsheets/d/1QqKyyYR6Q21VydFLVH3TRQUabQu_ym0Zz7PgGX0-kHA/edit?usp=sharing"",""แผน!FS65"")"),174403)</f>
        <v>174403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IFERROR(__xludf.DUMMYFUNCTION("IMPORTRANGE(""https://docs.google.com/spreadsheets/d/1QqKyyYR6Q21VydFLVH3TRQUabQu_ym0Zz7PgGX0-kHA/edit?usp=sharing"",""แผน!FV65"")"),0)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IFERROR(__xludf.DUMMYFUNCTION("IMPORTRANGE(""https://docs.google.com/spreadsheets/d/1QqKyyYR6Q21VydFLVH3TRQUabQu_ym0Zz7PgGX0-kHA/edit?usp=sharing"",""แผน!FY65"")"),180)</f>
        <v>180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IFERROR(__xludf.DUMMYFUNCTION("IMPORTRANGE(""https://docs.google.com/spreadsheets/d/1QqKyyYR6Q21VydFLVH3TRQUabQu_ym0Zz7PgGX0-kHA/edit?usp=sharing"",""แผน!FZ65"")"),18)</f>
        <v>18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IFERROR(__xludf.DUMMYFUNCTION("IMPORTRANGE(""https://docs.google.com/spreadsheets/d/1QqKyyYR6Q21VydFLVH3TRQUabQu_ym0Zz7PgGX0-kHA/edit?usp=sharing"",""แผน!GA65"")"),20)</f>
        <v>20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IFERROR(__xludf.DUMMYFUNCTION("IMPORTRANGE(""https://docs.google.com/spreadsheets/d/1QqKyyYR6Q21VydFLVH3TRQUabQu_ym0Zz7PgGX0-kHA/edit?usp=sharing"",""แผน!GB65"")"),2)</f>
        <v>2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IFERROR(__xludf.DUMMYFUNCTION("IMPORTRANGE(""https://docs.google.com/spreadsheets/d/1QqKyyYR6Q21VydFLVH3TRQUabQu_ym0Zz7PgGX0-kHA/edit?usp=sharing"",""แผน!GC65"")"),1)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IFERROR(__xludf.DUMMYFUNCTION("IMPORTRANGE(""https://docs.google.com/spreadsheets/d/1QqKyyYR6Q21VydFLVH3TRQUabQu_ym0Zz7PgGX0-kHA/edit?usp=sharing"",""แผน!FY65"")"),180)</f>
        <v>180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IFERROR(__xludf.DUMMYFUNCTION("IMPORTRANGE(""https://docs.google.com/spreadsheets/d/1QqKyyYR6Q21VydFLVH3TRQUabQu_ym0Zz7PgGX0-kHA/edit?usp=sharing"",""แผน!GA65"")"),20)</f>
        <v>20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IFERROR(__xludf.DUMMYFUNCTION("IMPORTRANGE(""https://docs.google.com/spreadsheets/d/1QqKyyYR6Q21VydFLVH3TRQUabQu_ym0Zz7PgGX0-kHA/edit?usp=sharing"",""แผน!GQ65"")"),0)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IFERROR(__xludf.DUMMYFUNCTION("IMPORTRANGE(""https://docs.google.com/spreadsheets/d/1QqKyyYR6Q21VydFLVH3TRQUabQu_ym0Zz7PgGX0-kHA/edit?usp=sharing"",""แผน!GT65"")"),0)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IFERROR(__xludf.DUMMYFUNCTION("IMPORTRANGE(""https://docs.google.com/spreadsheets/d/1QqKyyYR6Q21VydFLVH3TRQUabQu_ym0Zz7PgGX0-kHA/edit?usp=sharing"",""แผน!GU65"")"),0)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IFERROR(__xludf.DUMMYFUNCTION("IMPORTRANGE(""https://docs.google.com/spreadsheets/d/1QqKyyYR6Q21VydFLVH3TRQUabQu_ym0Zz7PgGX0-kHA/edit?usp=sharing"",""แผน!GV65"")"),0)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IFERROR(__xludf.DUMMYFUNCTION("IMPORTRANGE(""https://docs.google.com/spreadsheets/d/1QqKyyYR6Q21VydFLVH3TRQUabQu_ym0Zz7PgGX0-kHA/edit?usp=sharing"",""แผน!GW65"")"),0)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IFERROR(__xludf.DUMMYFUNCTION("IMPORTRANGE(""https://docs.google.com/spreadsheets/d/1QqKyyYR6Q21VydFLVH3TRQUabQu_ym0Zz7PgGX0-kHA/edit?usp=sharing"",""แผน!GX65"")"),0)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IFERROR(__xludf.DUMMYFUNCTION("IMPORTRANGE(""https://docs.google.com/spreadsheets/d/1QqKyyYR6Q21VydFLVH3TRQUabQu_ym0Zz7PgGX0-kHA/edit?usp=sharing"",""แผน!GY65"")"),0)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IFERROR(__xludf.DUMMYFUNCTION("IMPORTRANGE(""https://docs.google.com/spreadsheets/d/1QqKyyYR6Q21VydFLVH3TRQUabQu_ym0Zz7PgGX0-kHA/edit?usp=sharing"",""แผน!GZ65"")"),0)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218300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218300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218300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IFERROR(__xludf.DUMMYFUNCTION("IMPORTRANGE(""https://docs.google.com/spreadsheets/d/1QqKyyYR6Q21VydFLVH3TRQUabQu_ym0Zz7PgGX0-kHA/edit?usp=sharing"",""แผน!HB65"")"),218300)</f>
        <v>218300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IFERROR(__xludf.DUMMYFUNCTION("IMPORTRANGE(""https://docs.google.com/spreadsheets/d/1QqKyyYR6Q21VydFLVH3TRQUabQu_ym0Zz7PgGX0-kHA/edit?usp=sharing"",""แผน!HF65"")"),0)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IFERROR(__xludf.DUMMYFUNCTION("IMPORTRANGE(""https://docs.google.com/spreadsheets/d/1QqKyyYR6Q21VydFLVH3TRQUabQu_ym0Zz7PgGX0-kHA/edit?usp=sharing"",""แผน!HH65"")"),0)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IFERROR(__xludf.DUMMYFUNCTION("IMPORTRANGE(""https://docs.google.com/spreadsheets/d/1QqKyyYR6Q21VydFLVH3TRQUabQu_ym0Zz7PgGX0-kHA/edit?usp=sharing"",""แผน!HG65"")"),0)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IFERROR(__xludf.DUMMYFUNCTION("IMPORTRANGE(""https://docs.google.com/spreadsheets/d/1QqKyyYR6Q21VydFLVH3TRQUabQu_ym0Zz7PgGX0-kHA/edit?usp=sharing"",""แผน!HH65"")"),0)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IFERROR(__xludf.DUMMYFUNCTION("IMPORTRANGE(""https://docs.google.com/spreadsheets/d/1QqKyyYR6Q21VydFLVH3TRQUabQu_ym0Zz7PgGX0-kHA/edit?usp=sharing"",""แผน!HG65"")"),0)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IFERROR(__xludf.DUMMYFUNCTION("IMPORTRANGE(""https://docs.google.com/spreadsheets/d/1QqKyyYR6Q21VydFLVH3TRQUabQu_ym0Zz7PgGX0-kHA/edit?usp=sharing"",""แผน!HH65"")"),0)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IFERROR(__xludf.DUMMYFUNCTION("IMPORTRANGE(""https://docs.google.com/spreadsheets/d/1QqKyyYR6Q21VydFLVH3TRQUabQu_ym0Zz7PgGX0-kHA/edit?usp=sharing"",""แผน!HG65"")"),0)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189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IFERROR(__xludf.DUMMYFUNCTION("IMPORTRANGE(""https://docs.google.com/spreadsheets/d/1QqKyyYR6Q21VydFLVH3TRQUabQu_ym0Zz7PgGX0-kHA/edit?usp=sharing"",""แผน!HJ65"")"),189)</f>
        <v>189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IFERROR(__xludf.DUMMYFUNCTION("IMPORTRANGE(""https://docs.google.com/spreadsheets/d/1QqKyyYR6Q21VydFLVH3TRQUabQu_ym0Zz7PgGX0-kHA/edit?usp=sharing"",""แผน!HI65"")"),21)</f>
        <v>21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IFERROR(__xludf.DUMMYFUNCTION("IMPORTRANGE(""https://docs.google.com/spreadsheets/d/1QqKyyYR6Q21VydFLVH3TRQUabQu_ym0Zz7PgGX0-kHA/edit?usp=sharing"",""แผน!HL65"")"),0)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IFERROR(__xludf.DUMMYFUNCTION("IMPORTRANGE(""https://docs.google.com/spreadsheets/d/1QqKyyYR6Q21VydFLVH3TRQUabQu_ym0Zz7PgGX0-kHA/edit?usp=sharing"",""แผน!HK65"")"),0)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0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0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0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IFERROR(__xludf.DUMMYFUNCTION("IMPORTRANGE(""https://docs.google.com/spreadsheets/d/1QqKyyYR6Q21VydFLVH3TRQUabQu_ym0Zz7PgGX0-kHA/edit?usp=sharing"",""แผน!HN65"")"),0)</f>
        <v>0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IFERROR(__xludf.DUMMYFUNCTION("IMPORTRANGE(""https://docs.google.com/spreadsheets/d/1QqKyyYR6Q21VydFLVH3TRQUabQu_ym0Zz7PgGX0-kHA/edit?usp=sharing"",""แผน!HQ65"")"),0)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IFERROR(__xludf.DUMMYFUNCTION("IMPORTRANGE(""https://docs.google.com/spreadsheets/d/1QqKyyYR6Q21VydFLVH3TRQUabQu_ym0Zz7PgGX0-kHA/edit?usp=sharing"",""แผน!HR65"")"),0)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IFERROR(__xludf.DUMMYFUNCTION("IMPORTRANGE(""https://docs.google.com/spreadsheets/d/1QqKyyYR6Q21VydFLVH3TRQUabQu_ym0Zz7PgGX0-kHA/edit?usp=sharing"",""แผน!HR65"")"),0)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IFERROR(__xludf.DUMMYFUNCTION("IMPORTRANGE(""https://docs.google.com/spreadsheets/d/1XWAQStnk-4SwqDmLtmXYiTMKHgktTP8We1SCoS47DrQ/edit?usp=sharing"",""จัดที่ดิน!AS65"")"),0)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IFERROR(__xludf.DUMMYFUNCTION("IMPORTRANGE(""https://docs.google.com/spreadsheets/d/1XWAQStnk-4SwqDmLtmXYiTMKHgktTP8We1SCoS47DrQ/edit?usp=sharing"",""จัดที่ดิน!AT65"")"),0)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IFERROR(__xludf.DUMMYFUNCTION("IMPORTRANGE(""https://docs.google.com/spreadsheets/d/1QqKyyYR6Q21VydFLVH3TRQUabQu_ym0Zz7PgGX0-kHA/edit?usp=sharing"",""แผน!HS65"")"),0)</f>
        <v>0</v>
      </c>
      <c r="J647" s="264">
        <f ca="1">IFERROR(__xludf.DUMMYFUNCTION("IMPORTRANGE(""https://docs.google.com/spreadsheets/d/1XWAQStnk-4SwqDmLtmXYiTMKHgktTP8We1SCoS47DrQ/edit?usp=sharing"",""จัดที่ดิน!AU65"")"),0)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IFERROR(__xludf.DUMMYFUNCTION("IMPORTRANGE(""https://docs.google.com/spreadsheets/d/1XWAQStnk-4SwqDmLtmXYiTMKHgktTP8We1SCoS47DrQ/edit?usp=sharing"",""จัดที่ดิน!AV65"")"),0)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IFERROR(__xludf.DUMMYFUNCTION("IMPORTRANGE(""https://docs.google.com/spreadsheets/d/1QqKyyYR6Q21VydFLVH3TRQUabQu_ym0Zz7PgGX0-kHA/edit?usp=sharing"",""แผน!HS65"")"),0)</f>
        <v>0</v>
      </c>
      <c r="J649" s="264">
        <f ca="1">IFERROR(__xludf.DUMMYFUNCTION("IMPORTRANGE(""https://docs.google.com/spreadsheets/d/1XWAQStnk-4SwqDmLtmXYiTMKHgktTP8We1SCoS47DrQ/edit?usp=sharing"",""จัดที่ดิน!AW65"")"),0)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IFERROR(__xludf.DUMMYFUNCTION("IMPORTRANGE(""https://docs.google.com/spreadsheets/d/1XWAQStnk-4SwqDmLtmXYiTMKHgktTP8We1SCoS47DrQ/edit?usp=sharing"",""จัดที่ดิน!AX65"")"),0)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IFERROR(__xludf.DUMMYFUNCTION("IMPORTRANGE(""https://docs.google.com/spreadsheets/d/1QqKyyYR6Q21VydFLVH3TRQUabQu_ym0Zz7PgGX0-kHA/edit?usp=sharing"",""แผน!HS65"")"),0)</f>
        <v>0</v>
      </c>
      <c r="J651" s="264">
        <f ca="1">IFERROR(__xludf.DUMMYFUNCTION("IMPORTRANGE(""https://docs.google.com/spreadsheets/d/1XWAQStnk-4SwqDmLtmXYiTMKHgktTP8We1SCoS47DrQ/edit?usp=sharing"",""จัดที่ดิน!AY65"")"),0)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IFERROR(__xludf.DUMMYFUNCTION("IMPORTRANGE(""https://docs.google.com/spreadsheets/d/1XWAQStnk-4SwqDmLtmXYiTMKHgktTP8We1SCoS47DrQ/edit?usp=sharing"",""จัดที่ดิน!AZ65"")"),0)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50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9400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9400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9400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IFERROR(__xludf.DUMMYFUNCTION("IMPORTRANGE(""https://docs.google.com/spreadsheets/d/1QqKyyYR6Q21VydFLVH3TRQUabQu_ym0Zz7PgGX0-kHA/edit?usp=sharing"",""แผน!HV65"")"),9400)</f>
        <v>9400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IFERROR(__xludf.DUMMYFUNCTION("IMPORTRANGE(""https://docs.google.com/spreadsheets/d/1QqKyyYR6Q21VydFLVH3TRQUabQu_ym0Zz7PgGX0-kHA/edit?usp=sharing"",""แผน!IA65"")"),50)</f>
        <v>50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IFERROR(__xludf.DUMMYFUNCTION("IMPORTRANGE(""https://docs.google.com/spreadsheets/d/1QqKyyYR6Q21VydFLVH3TRQUabQu_ym0Zz7PgGX0-kHA/edit?usp=sharing"",""แผน!HZ65"")"),4)</f>
        <v>4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IFERROR(__xludf.DUMMYFUNCTION("IMPORTRANGE(""https://docs.google.com/spreadsheets/d/1QqKyyYR6Q21VydFLVH3TRQUabQu_ym0Zz7PgGX0-kHA/edit?usp=sharing"",""แผน!HZ65"")"),4)</f>
        <v>4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IFERROR(__xludf.DUMMYFUNCTION("IMPORTRANGE(""https://docs.google.com/spreadsheets/d/1QqKyyYR6Q21VydFLVH3TRQUabQu_ym0Zz7PgGX0-kHA/edit?usp=sharing"",""แผน!IB65"")"),0)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12720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12720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12720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IFERROR(__xludf.DUMMYFUNCTION("IMPORTRANGE(""https://docs.google.com/spreadsheets/d/1QqKyyYR6Q21VydFLVH3TRQUabQu_ym0Zz7PgGX0-kHA/edit?usp=sharing"",""แผน!HW65"")"),12720)</f>
        <v>12720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IFERROR(__xludf.DUMMYFUNCTION("IMPORTRANGE(""https://docs.google.com/spreadsheets/d/1QqKyyYR6Q21VydFLVH3TRQUabQu_ym0Zz7PgGX0-kHA/edit?usp=sharing"",""แผน!IC65"")"),0)</f>
        <v>0</v>
      </c>
      <c r="J699" s="264">
        <f ca="1">IFERROR(__xludf.DUMMYFUNCTION("IMPORTRANGE(""https://docs.google.com/spreadsheets/d/1XWAQStnk-4SwqDmLtmXYiTMKHgktTP8We1SCoS47DrQ/edit?usp=sharing"",""จัดที่ดิน!BB65"")"),0)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IFERROR(__xludf.DUMMYFUNCTION("IMPORTRANGE(""https://docs.google.com/spreadsheets/d/1QqKyyYR6Q21VydFLVH3TRQUabQu_ym0Zz7PgGX0-kHA/edit?usp=sharing"",""แผน!ID65"")"),35)</f>
        <v>35</v>
      </c>
      <c r="J700" s="264">
        <f ca="1">IFERROR(__xludf.DUMMYFUNCTION("IMPORTRANGE(""https://docs.google.com/spreadsheets/d/1XWAQStnk-4SwqDmLtmXYiTMKHgktTP8We1SCoS47DrQ/edit?usp=sharing"",""จัดที่ดิน!BD65"")"),2)</f>
        <v>2</v>
      </c>
      <c r="K700" s="495">
        <f t="shared" ca="1" si="289"/>
        <v>5.7142857142857144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IFERROR(__xludf.DUMMYFUNCTION("IMPORTRANGE(""https://docs.google.com/spreadsheets/d/1QqKyyYR6Q21VydFLVH3TRQUabQu_ym0Zz7PgGX0-kHA/edit?usp=sharing"",""แผน!IE65"")"),0)</f>
        <v>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IFERROR(__xludf.DUMMYFUNCTION("IMPORTRANGE(""https://docs.google.com/spreadsheets/d/1QqKyyYR6Q21VydFLVH3TRQUabQu_ym0Zz7PgGX0-kHA/edit?usp=sharing"",""แผน!IF65"")"),0)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IFERROR(__xludf.DUMMYFUNCTION("IMPORTRANGE(""https://docs.google.com/spreadsheets/d/1QqKyyYR6Q21VydFLVH3TRQUabQu_ym0Zz7PgGX0-kHA/edit?usp=sharing"",""แผน!IG65"")"),0)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IFERROR(__xludf.DUMMYFUNCTION("IMPORTRANGE(""https://docs.google.com/spreadsheets/d/1QqKyyYR6Q21VydFLVH3TRQUabQu_ym0Zz7PgGX0-kHA/edit?usp=sharing"",""แผน!IH65"")"),0)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IFERROR(__xludf.DUMMYFUNCTION("IMPORTRANGE(""https://docs.google.com/spreadsheets/d/1XWAQStnk-4SwqDmLtmXYiTMKHgktTP8We1SCoS47DrQ/edit?usp=sharing"",""จัดที่ดิน!BF65"")"),0)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IFERROR(__xludf.DUMMYFUNCTION("IMPORTRANGE(""https://docs.google.com/spreadsheets/d/1XWAQStnk-4SwqDmLtmXYiTMKHgktTP8We1SCoS47DrQ/edit?usp=sharing"",""จัดที่ดิน!BG65"")"),0)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IFERROR(__xludf.DUMMYFUNCTION("IMPORTRANGE(""https://docs.google.com/spreadsheets/d/1QqKyyYR6Q21VydFLVH3TRQUabQu_ym0Zz7PgGX0-kHA/edit?usp=sharing"",""แผน!II65"")"),0)</f>
        <v>0</v>
      </c>
      <c r="J720" s="264">
        <f ca="1">IFERROR(__xludf.DUMMYFUNCTION("IMPORTRANGE(""https://docs.google.com/spreadsheets/d/1XWAQStnk-4SwqDmLtmXYiTMKHgktTP8We1SCoS47DrQ/edit?usp=sharing"",""จัดที่ดิน!BH65"")"),0)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IFERROR(__xludf.DUMMYFUNCTION("IMPORTRANGE(""https://docs.google.com/spreadsheets/d/1QqKyyYR6Q21VydFLVH3TRQUabQu_ym0Zz7PgGX0-kHA/edit?usp=sharing"",""แผน!IJ65"")"),16)</f>
        <v>16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IFERROR(__xludf.DUMMYFUNCTION("IMPORTRANGE(""https://docs.google.com/spreadsheets/d/1QqKyyYR6Q21VydFLVH3TRQUabQu_ym0Zz7PgGX0-kHA/edit?usp=sharing"",""แผน!IK65"")"),224)</f>
        <v>224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IFERROR(__xludf.DUMMYFUNCTION("IMPORTRANGE(""https://docs.google.com/spreadsheets/d/1QqKyyYR6Q21VydFLVH3TRQUabQu_ym0Zz7PgGX0-kHA/edit?usp=sharing"",""แผน!IL65"")"),12)</f>
        <v>12</v>
      </c>
      <c r="J723" s="264">
        <f ca="1">IFERROR(__xludf.DUMMYFUNCTION("IMPORTRANGE(""https://docs.google.com/spreadsheets/d/1XWAQStnk-4SwqDmLtmXYiTMKHgktTP8We1SCoS47DrQ/edit?usp=sharing"",""จัดที่ดิน!BM65"")"),0)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IFERROR(__xludf.DUMMYFUNCTION("IMPORTRANGE(""https://docs.google.com/spreadsheets/d/1XWAQStnk-4SwqDmLtmXYiTMKHgktTP8We1SCoS47DrQ/edit?usp=sharing"",""จัดที่ดิน!BN65"")"),0)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IFERROR(__xludf.DUMMYFUNCTION("IMPORTRANGE(""https://docs.google.com/spreadsheets/d/1QqKyyYR6Q21VydFLVH3TRQUabQu_ym0Zz7PgGX0-kHA/edit?usp=sharing"",""แผน!IM65"")"),168)</f>
        <v>168</v>
      </c>
      <c r="J725" s="264">
        <f ca="1">IFERROR(__xludf.DUMMYFUNCTION("IMPORTRANGE(""https://docs.google.com/spreadsheets/d/1XWAQStnk-4SwqDmLtmXYiTMKHgktTP8We1SCoS47DrQ/edit?usp=sharing"",""จัดที่ดิน!BO65"")"),0)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IFERROR(__xludf.DUMMYFUNCTION("IMPORTRANGE(""https://docs.google.com/spreadsheets/d/1QqKyyYR6Q21VydFLVH3TRQUabQu_ym0Zz7PgGX0-kHA/edit?usp=sharing"",""แผน!IN65"")"),4)</f>
        <v>4</v>
      </c>
      <c r="J726" s="264">
        <f ca="1">IFERROR(__xludf.DUMMYFUNCTION("IMPORTRANGE(""https://docs.google.com/spreadsheets/d/1XWAQStnk-4SwqDmLtmXYiTMKHgktTP8We1SCoS47DrQ/edit?usp=sharing"",""จัดที่ดิน!BR65"")"),0)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IFERROR(__xludf.DUMMYFUNCTION("IMPORTRANGE(""https://docs.google.com/spreadsheets/d/1XWAQStnk-4SwqDmLtmXYiTMKHgktTP8We1SCoS47DrQ/edit?usp=sharing"",""จัดที่ดิน!BS65"")"),0)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IFERROR(__xludf.DUMMYFUNCTION("IMPORTRANGE(""https://docs.google.com/spreadsheets/d/1QqKyyYR6Q21VydFLVH3TRQUabQu_ym0Zz7PgGX0-kHA/edit?usp=sharing"",""แผน!IO65"")"),56)</f>
        <v>56</v>
      </c>
      <c r="J728" s="264">
        <f ca="1">IFERROR(__xludf.DUMMYFUNCTION("IMPORTRANGE(""https://docs.google.com/spreadsheets/d/1XWAQStnk-4SwqDmLtmXYiTMKHgktTP8We1SCoS47DrQ/edit?usp=sharing"",""จัดที่ดิน!BT65"")"),0)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IFERROR(__xludf.DUMMYFUNCTION("IMPORTRANGE(""https://docs.google.com/spreadsheets/d/1QqKyyYR6Q21VydFLVH3TRQUabQu_ym0Zz7PgGX0-kHA/edit?usp=sharing"",""แผน!IP65"")"),0)</f>
        <v>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IFERROR(__xludf.DUMMYFUNCTION("IMPORTRANGE(""https://docs.google.com/spreadsheets/d/1QqKyyYR6Q21VydFLVH3TRQUabQu_ym0Zz7PgGX0-kHA/edit?usp=sharing"",""แผน!JJ65"")"),0)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IFERROR(__xludf.DUMMYFUNCTION("IMPORTRANGE(""https://docs.google.com/spreadsheets/d/1QqKyyYR6Q21VydFLVH3TRQUabQu_ym0Zz7PgGX0-kHA/edit?usp=sharing"",""แผน!JN65"")"),0)</f>
        <v>0</v>
      </c>
      <c r="J800" s="180">
        <f ca="1">IFERROR(__xludf.DUMMYFUNCTION("IMPORTRANGE(""https://docs.google.com/spreadsheets/d/1MaWodYyGHDf7siQLGxnXhG4mBNTNIuy296niS2xXulU/edit?usp=sharing"",""RTK!H65"")"),0)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IFERROR(__xludf.DUMMYFUNCTION("IMPORTRANGE(""https://docs.google.com/spreadsheets/d/1MaWodYyGHDf7siQLGxnXhG4mBNTNIuy296niS2xXulU/edit?usp=sharing"",""RTK!I65"")"),0)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264">
        <f ca="1">IFERROR(__xludf.DUMMYFUNCTION("IMPORTRANGE(""https://docs.google.com/spreadsheets/d/19vJNZY_5yjcGF2XGBMNZRCAIB0Kwfpjp8YEOfu-bneM/edit?usp=sharing"",""งานกองทุน!F65"")"),0)</f>
        <v>0</v>
      </c>
      <c r="K821" s="495">
        <f t="shared" ref="K821:K828" ca="1" si="334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IFERROR(__xludf.DUMMYFUNCTION("IMPORTRANGE(""https://docs.google.com/spreadsheets/d/19vJNZY_5yjcGF2XGBMNZRCAIB0Kwfpjp8YEOfu-bneM/edit?usp=sharing"",""งานกองทุน!C65"")"),95)</f>
        <v>95</v>
      </c>
      <c r="J822" s="264">
        <f ca="1">IFERROR(__xludf.DUMMYFUNCTION("IMPORTRANGE(""https://docs.google.com/spreadsheets/d/19vJNZY_5yjcGF2XGBMNZRCAIB0Kwfpjp8YEOfu-bneM/edit?usp=sharing"",""งานกองทุน!E65"")"),0)</f>
        <v>0</v>
      </c>
      <c r="K822" s="495">
        <f t="shared" ca="1" si="334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264">
        <f ca="1">IFERROR(__xludf.DUMMYFUNCTION("IMPORTRANGE(""https://docs.google.com/spreadsheets/d/19vJNZY_5yjcGF2XGBMNZRCAIB0Kwfpjp8YEOfu-bneM/edit?usp=sharing"",""งานกองทุน!K65"")"),0)</f>
        <v>0</v>
      </c>
      <c r="K823" s="495">
        <f t="shared" ca="1" si="334"/>
        <v>0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IFERROR(__xludf.DUMMYFUNCTION("IMPORTRANGE(""https://docs.google.com/spreadsheets/d/19vJNZY_5yjcGF2XGBMNZRCAIB0Kwfpjp8YEOfu-bneM/edit?usp=sharing"",""งานกองทุน!H65"")"),21)</f>
        <v>21</v>
      </c>
      <c r="J824" s="264">
        <f ca="1">IFERROR(__xludf.DUMMYFUNCTION("IMPORTRANGE(""https://docs.google.com/spreadsheets/d/19vJNZY_5yjcGF2XGBMNZRCAIB0Kwfpjp8YEOfu-bneM/edit?usp=sharing"",""งานกองทุน!J65"")"),0)</f>
        <v>0</v>
      </c>
      <c r="K824" s="495">
        <f t="shared" ca="1" si="334"/>
        <v>0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IFERROR(__xludf.DUMMYFUNCTION("IMPORTRANGE(""https://docs.google.com/spreadsheets/d/19vJNZY_5yjcGF2XGBMNZRCAIB0Kwfpjp8YEOfu-bneM/edit?usp=sharing"",""งานกองทุน!N65"")"),118.75)</f>
        <v>118.75</v>
      </c>
      <c r="J825" s="264">
        <f ca="1">IFERROR(__xludf.DUMMYFUNCTION("IMPORTRANGE(""https://docs.google.com/spreadsheets/d/19vJNZY_5yjcGF2XGBMNZRCAIB0Kwfpjp8YEOfu-bneM/edit?usp=sharing"",""งานกองทุน!P65"")"),68870.14)</f>
        <v>68870.14</v>
      </c>
      <c r="K825" s="495">
        <f t="shared" ca="1" si="334"/>
        <v>57995.907368421053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IFERROR(__xludf.DUMMYFUNCTION("IMPORTRANGE(""https://docs.google.com/spreadsheets/d/19vJNZY_5yjcGF2XGBMNZRCAIB0Kwfpjp8YEOfu-bneM/edit?usp=sharing"",""งานกองทุน!M65"")"),1)</f>
        <v>1</v>
      </c>
      <c r="J826" s="264">
        <f ca="1">IFERROR(__xludf.DUMMYFUNCTION("IMPORTRANGE(""https://docs.google.com/spreadsheets/d/19vJNZY_5yjcGF2XGBMNZRCAIB0Kwfpjp8YEOfu-bneM/edit?usp=sharing"",""งานกองทุน!O65"")"),2)</f>
        <v>2</v>
      </c>
      <c r="K826" s="495">
        <f t="shared" ca="1" si="334"/>
        <v>200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IFERROR(__xludf.DUMMYFUNCTION("IMPORTRANGE(""https://docs.google.com/spreadsheets/d/19vJNZY_5yjcGF2XGBMNZRCAIB0Kwfpjp8YEOfu-bneM/edit?usp=sharing"",""งานกองทุน!S65"")"),1000000)</f>
        <v>1000000</v>
      </c>
      <c r="J827" s="264">
        <f ca="1">IFERROR(__xludf.DUMMYFUNCTION("IMPORTRANGE(""https://docs.google.com/spreadsheets/d/19vJNZY_5yjcGF2XGBMNZRCAIB0Kwfpjp8YEOfu-bneM/edit?usp=sharing"",""งานกองทุน!U65"")"),0)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IFERROR(__xludf.DUMMYFUNCTION("IMPORTRANGE(""https://docs.google.com/spreadsheets/d/19vJNZY_5yjcGF2XGBMNZRCAIB0Kwfpjp8YEOfu-bneM/edit?usp=sharing"",""งานกองทุน!R65"")"),36)</f>
        <v>36</v>
      </c>
      <c r="J828" s="498">
        <f ca="1">IFERROR(__xludf.DUMMYFUNCTION("IMPORTRANGE(""https://docs.google.com/spreadsheets/d/19vJNZY_5yjcGF2XGBMNZRCAIB0Kwfpjp8YEOfu-bneM/edit?usp=sharing"",""งานกองทุน!T65"")"),50)</f>
        <v>50</v>
      </c>
      <c r="K828" s="499">
        <f t="shared" ca="1" si="334"/>
        <v>138.88888888888889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98F5-8B0F-4F13-997F-9FD1F4F3624C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351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3101125</v>
      </c>
      <c r="M8" s="21">
        <f t="shared" ca="1" si="0"/>
        <v>1222712</v>
      </c>
      <c r="N8" s="21">
        <f t="shared" ca="1" si="0"/>
        <v>561829.34</v>
      </c>
      <c r="O8" s="21">
        <f t="shared" ref="O8:O16" ca="1" si="1">IF(L8&gt;0,N8*100/L8,0)</f>
        <v>18.116952396307791</v>
      </c>
      <c r="P8" s="21">
        <f t="shared" ref="P8:P16" ca="1" si="2">IF(M8&gt;0,N8*100/M8,0)</f>
        <v>45.949441896374616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3101125</v>
      </c>
      <c r="M10" s="29">
        <f t="shared" ca="1" si="3"/>
        <v>1222712</v>
      </c>
      <c r="N10" s="29">
        <f t="shared" ca="1" si="3"/>
        <v>561829.34</v>
      </c>
      <c r="O10" s="29">
        <f t="shared" ca="1" si="1"/>
        <v>18.116952396307791</v>
      </c>
      <c r="P10" s="29">
        <f t="shared" ca="1" si="2"/>
        <v>45.949441896374616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2888925</v>
      </c>
      <c r="M11" s="495">
        <f t="shared" ca="1" si="4"/>
        <v>1010512</v>
      </c>
      <c r="N11" s="495">
        <f t="shared" ca="1" si="4"/>
        <v>349629.33999999997</v>
      </c>
      <c r="O11" s="495">
        <f t="shared" ca="1" si="1"/>
        <v>12.102402796888116</v>
      </c>
      <c r="P11" s="495">
        <f t="shared" ca="1" si="2"/>
        <v>34.599226926548127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2888925</v>
      </c>
      <c r="M13" s="90">
        <f t="shared" ca="1" si="5"/>
        <v>1010512</v>
      </c>
      <c r="N13" s="90">
        <f t="shared" ca="1" si="5"/>
        <v>349629.33999999997</v>
      </c>
      <c r="O13" s="90">
        <f t="shared" ca="1" si="1"/>
        <v>12.102402796888116</v>
      </c>
      <c r="P13" s="90">
        <f t="shared" ca="1" si="2"/>
        <v>34.599226926548127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212200</v>
      </c>
      <c r="M14" s="495">
        <f t="shared" ca="1" si="6"/>
        <v>212200</v>
      </c>
      <c r="N14" s="495">
        <f t="shared" ca="1" si="6"/>
        <v>212200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212200</v>
      </c>
      <c r="M16" s="51">
        <f t="shared" ca="1" si="7"/>
        <v>212200</v>
      </c>
      <c r="N16" s="51">
        <f t="shared" ca="1" si="7"/>
        <v>212200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2270472</v>
      </c>
      <c r="M18" s="21">
        <f t="shared" ca="1" si="8"/>
        <v>1222712</v>
      </c>
      <c r="N18" s="21">
        <f t="shared" ca="1" si="8"/>
        <v>561829.34</v>
      </c>
      <c r="O18" s="21">
        <f t="shared" ref="O18:O26" ca="1" si="9">IF(L18&gt;0,N18*100/L18,0)</f>
        <v>24.745045964011009</v>
      </c>
      <c r="P18" s="21">
        <f t="shared" ref="P18:P26" ca="1" si="10">IF(M18&gt;0,N18*100/M18,0)</f>
        <v>45.949441896374616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2270472</v>
      </c>
      <c r="M20" s="29">
        <f t="shared" ca="1" si="11"/>
        <v>1222712</v>
      </c>
      <c r="N20" s="29">
        <f t="shared" ca="1" si="11"/>
        <v>561829.34</v>
      </c>
      <c r="O20" s="29">
        <f t="shared" ca="1" si="9"/>
        <v>24.745045964011009</v>
      </c>
      <c r="P20" s="29">
        <f t="shared" ca="1" si="10"/>
        <v>45.949441896374616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2058272</v>
      </c>
      <c r="M21" s="495">
        <f t="shared" ca="1" si="12"/>
        <v>1010512</v>
      </c>
      <c r="N21" s="495">
        <f t="shared" ca="1" si="12"/>
        <v>349629.33999999997</v>
      </c>
      <c r="O21" s="495">
        <f t="shared" ca="1" si="9"/>
        <v>16.986546967553366</v>
      </c>
      <c r="P21" s="495">
        <f t="shared" ca="1" si="10"/>
        <v>34.599226926548127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2058272</v>
      </c>
      <c r="M23" s="90">
        <f t="shared" ca="1" si="13"/>
        <v>1010512</v>
      </c>
      <c r="N23" s="90">
        <f t="shared" ca="1" si="13"/>
        <v>349629.33999999997</v>
      </c>
      <c r="O23" s="90">
        <f t="shared" ca="1" si="9"/>
        <v>16.986546967553366</v>
      </c>
      <c r="P23" s="90">
        <f t="shared" ca="1" si="10"/>
        <v>34.599226926548127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212200</v>
      </c>
      <c r="M24" s="495">
        <f t="shared" ca="1" si="14"/>
        <v>212200</v>
      </c>
      <c r="N24" s="495">
        <f t="shared" ca="1" si="14"/>
        <v>212200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212200</v>
      </c>
      <c r="M26" s="51">
        <f t="shared" ca="1" si="15"/>
        <v>212200</v>
      </c>
      <c r="N26" s="51">
        <f t="shared" ca="1" si="15"/>
        <v>212200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830653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830653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830653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830653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2270472</v>
      </c>
      <c r="M37" s="57">
        <f t="shared" ca="1" si="24"/>
        <v>1222712</v>
      </c>
      <c r="N37" s="57">
        <f t="shared" ca="1" si="24"/>
        <v>561829.34</v>
      </c>
      <c r="O37" s="57">
        <f t="shared" ca="1" si="17"/>
        <v>24.745045964011009</v>
      </c>
      <c r="P37" s="57">
        <f t="shared" ca="1" si="18"/>
        <v>45.949441896374616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328042</v>
      </c>
      <c r="M41" s="82">
        <f t="shared" ca="1" si="25"/>
        <v>164642</v>
      </c>
      <c r="N41" s="82">
        <f t="shared" ca="1" si="25"/>
        <v>56432</v>
      </c>
      <c r="O41" s="82">
        <f t="shared" ref="O41:O49" ca="1" si="26">IF(L41&gt;0,N41*100/L41,0)</f>
        <v>17.202675267191395</v>
      </c>
      <c r="P41" s="82">
        <f t="shared" ref="P41:P49" ca="1" si="27">IF(M41&gt;0,N41*100/M41,0)</f>
        <v>34.275579742714498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328042</v>
      </c>
      <c r="M43" s="89">
        <f t="shared" ca="1" si="28"/>
        <v>164642</v>
      </c>
      <c r="N43" s="89">
        <f t="shared" ca="1" si="28"/>
        <v>56432</v>
      </c>
      <c r="O43" s="89">
        <f t="shared" ca="1" si="26"/>
        <v>17.202675267191395</v>
      </c>
      <c r="P43" s="89">
        <f t="shared" ca="1" si="27"/>
        <v>34.275579742714498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328042</v>
      </c>
      <c r="M44" s="495">
        <f t="shared" ca="1" si="29"/>
        <v>164642</v>
      </c>
      <c r="N44" s="495">
        <f t="shared" ca="1" si="29"/>
        <v>56432</v>
      </c>
      <c r="O44" s="495">
        <f t="shared" ca="1" si="26"/>
        <v>17.202675267191395</v>
      </c>
      <c r="P44" s="495">
        <f t="shared" ca="1" si="27"/>
        <v>34.275579742714498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IFERROR(__xludf.DUMMYFUNCTION("IMPORTRANGE(""https://docs.google.com/spreadsheets/d/1MeEWN-I1oV_STSDYn1IFDPWt_1FKiwhDph83XaGc0o0/edit?usp=sharing"",""งบพรบ!M66"")"),328042)</f>
        <v>328042</v>
      </c>
      <c r="M46" s="90">
        <f ca="1">IFERROR(__xludf.DUMMYFUNCTION("IMPORTRANGE(""https://docs.google.com/spreadsheets/d/1MeEWN-I1oV_STSDYn1IFDPWt_1FKiwhDph83XaGc0o0/edit?usp=sharing"",""งบพรบ!R66"")"),164642)</f>
        <v>164642</v>
      </c>
      <c r="N46" s="90">
        <f ca="1">IFERROR(__xludf.DUMMYFUNCTION("IMPORTRANGE(""https://docs.google.com/spreadsheets/d/1MeEWN-I1oV_STSDYn1IFDPWt_1FKiwhDph83XaGc0o0/edit?usp=sharing"",""งบพรบ!T66"")"),56432)</f>
        <v>56432</v>
      </c>
      <c r="O46" s="90">
        <f t="shared" ca="1" si="26"/>
        <v>17.202675267191395</v>
      </c>
      <c r="P46" s="90">
        <f t="shared" ca="1" si="27"/>
        <v>34.275579742714498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IFERROR(__xludf.DUMMYFUNCTION("IMPORTRANGE(""https://docs.google.com/spreadsheets/d/1MeEWN-I1oV_STSDYn1IFDPWt_1FKiwhDph83XaGc0o0/edit?usp=sharing"",""งบพรบ!P66"")"),0)</f>
        <v>0</v>
      </c>
      <c r="M49" s="51">
        <f ca="1">IFERROR(__xludf.DUMMYFUNCTION("IMPORTRANGE(""https://docs.google.com/spreadsheets/d/1MeEWN-I1oV_STSDYn1IFDPWt_1FKiwhDph83XaGc0o0/edit?usp=sharing"",""งบพรบ!S66"")"),0)</f>
        <v>0</v>
      </c>
      <c r="N49" s="51">
        <f ca="1">IFERROR(__xludf.DUMMYFUNCTION("IMPORTRANGE(""https://docs.google.com/spreadsheets/d/1MeEWN-I1oV_STSDYn1IFDPWt_1FKiwhDph83XaGc0o0/edit?usp=sharing"",""งบพรบ!U66"")"),0)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317400</v>
      </c>
      <c r="M53" s="112">
        <f t="shared" ca="1" si="31"/>
        <v>158700</v>
      </c>
      <c r="N53" s="112">
        <f t="shared" ca="1" si="31"/>
        <v>52834.239999999998</v>
      </c>
      <c r="O53" s="112">
        <f t="shared" ref="O53:O61" ca="1" si="32">IF(L53&gt;0,N53*100/L53,0)</f>
        <v>16.645948330182733</v>
      </c>
      <c r="P53" s="112">
        <f t="shared" ref="P53:P61" ca="1" si="33">IF(M53&gt;0,N53*100/M53,0)</f>
        <v>33.291896660365467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317400</v>
      </c>
      <c r="M55" s="119">
        <f t="shared" ca="1" si="34"/>
        <v>158700</v>
      </c>
      <c r="N55" s="119">
        <f t="shared" ca="1" si="34"/>
        <v>52834.239999999998</v>
      </c>
      <c r="O55" s="119">
        <f t="shared" ca="1" si="32"/>
        <v>16.645948330182733</v>
      </c>
      <c r="P55" s="119">
        <f t="shared" ca="1" si="33"/>
        <v>33.291896660365467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317400</v>
      </c>
      <c r="M56" s="495">
        <f t="shared" ca="1" si="35"/>
        <v>158700</v>
      </c>
      <c r="N56" s="495">
        <f t="shared" ca="1" si="35"/>
        <v>52834.239999999998</v>
      </c>
      <c r="O56" s="495">
        <f t="shared" ca="1" si="32"/>
        <v>16.645948330182733</v>
      </c>
      <c r="P56" s="495">
        <f t="shared" ca="1" si="33"/>
        <v>33.291896660365467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IFERROR(__xludf.DUMMYFUNCTION("IMPORTRANGE(""https://docs.google.com/spreadsheets/d/1MeEWN-I1oV_STSDYn1IFDPWt_1FKiwhDph83XaGc0o0/edit?usp=sharing"",""งบพรบ!W66"")"),317400)</f>
        <v>317400</v>
      </c>
      <c r="M58" s="90">
        <f ca="1">IFERROR(__xludf.DUMMYFUNCTION("IMPORTRANGE(""https://docs.google.com/spreadsheets/d/1MeEWN-I1oV_STSDYn1IFDPWt_1FKiwhDph83XaGc0o0/edit?usp=sharing"",""งบพรบ!AB66"")"),158700)</f>
        <v>158700</v>
      </c>
      <c r="N58" s="90">
        <f ca="1">IFERROR(__xludf.DUMMYFUNCTION("IMPORTRANGE(""https://docs.google.com/spreadsheets/d/1MeEWN-I1oV_STSDYn1IFDPWt_1FKiwhDph83XaGc0o0/edit?usp=sharing"",""งบพรบ!AD66"")"),52834.24)</f>
        <v>52834.239999999998</v>
      </c>
      <c r="O58" s="90">
        <f t="shared" ca="1" si="32"/>
        <v>16.645948330182733</v>
      </c>
      <c r="P58" s="90">
        <f t="shared" ca="1" si="33"/>
        <v>33.291896660365467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IFERROR(__xludf.DUMMYFUNCTION("IMPORTRANGE(""https://docs.google.com/spreadsheets/d/1MeEWN-I1oV_STSDYn1IFDPWt_1FKiwhDph83XaGc0o0/edit?usp=sharing"",""งบพรบ!Z66"")"),0)</f>
        <v>0</v>
      </c>
      <c r="M61" s="51">
        <f ca="1">IFERROR(__xludf.DUMMYFUNCTION("IMPORTRANGE(""https://docs.google.com/spreadsheets/d/1MeEWN-I1oV_STSDYn1IFDPWt_1FKiwhDph83XaGc0o0/edit?usp=sharing"",""งบพรบ!AC66"")"),0)</f>
        <v>0</v>
      </c>
      <c r="N61" s="51">
        <f ca="1">IFERROR(__xludf.DUMMYFUNCTION("IMPORTRANGE(""https://docs.google.com/spreadsheets/d/1MeEWN-I1oV_STSDYn1IFDPWt_1FKiwhDph83XaGc0o0/edit?usp=sharing"",""งบพรบ!AE66"")"),0)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IFERROR(__xludf.DUMMYFUNCTION("IMPORTRANGE(""https://docs.google.com/spreadsheets/d/1MeEWN-I1oV_STSDYn1IFDPWt_1FKiwhDph83XaGc0o0/edit?usp=sharing"",""งบพรบ!AG66"")"),0)</f>
        <v>0</v>
      </c>
      <c r="M71" s="90">
        <f ca="1">IFERROR(__xludf.DUMMYFUNCTION("IMPORTRANGE(""https://docs.google.com/spreadsheets/d/1MeEWN-I1oV_STSDYn1IFDPWt_1FKiwhDph83XaGc0o0/edit?usp=sharing"",""งบพรบ!AL66"")"),0)</f>
        <v>0</v>
      </c>
      <c r="N71" s="90">
        <f ca="1">IFERROR(__xludf.DUMMYFUNCTION("IMPORTRANGE(""https://docs.google.com/spreadsheets/d/1MeEWN-I1oV_STSDYn1IFDPWt_1FKiwhDph83XaGc0o0/edit?usp=sharing"",""งบพรบ!AN66"")"),0)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IFERROR(__xludf.DUMMYFUNCTION("IMPORTRANGE(""https://docs.google.com/spreadsheets/d/1MeEWN-I1oV_STSDYn1IFDPWt_1FKiwhDph83XaGc0o0/edit?usp=sharing"",""งบพรบ!AJ66"")"),0)</f>
        <v>0</v>
      </c>
      <c r="M74" s="90">
        <f ca="1">IFERROR(__xludf.DUMMYFUNCTION("IMPORTRANGE(""https://docs.google.com/spreadsheets/d/1MeEWN-I1oV_STSDYn1IFDPWt_1FKiwhDph83XaGc0o0/edit?usp=sharing"",""งบพรบ!AM66"")"),0)</f>
        <v>0</v>
      </c>
      <c r="N74" s="90">
        <f ca="1">IFERROR(__xludf.DUMMYFUNCTION("IMPORTRANGE(""https://docs.google.com/spreadsheets/d/1MeEWN-I1oV_STSDYn1IFDPWt_1FKiwhDph83XaGc0o0/edit?usp=sharing"",""งบพรบ!AO66"")"),0)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IFERROR(__xludf.DUMMYFUNCTION("IMPORTRANGE(""https://docs.google.com/spreadsheets/d/1QqKyyYR6Q21VydFLVH3TRQUabQu_ym0Zz7PgGX0-kHA/edit?usp=sharing"",""แผน!H66"")"),0)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IFERROR(__xludf.DUMMYFUNCTION("IMPORTRANGE(""https://docs.google.com/spreadsheets/d/1QqKyyYR6Q21VydFLVH3TRQUabQu_ym0Zz7PgGX0-kHA/edit?usp=sharing"",""แผน!I66"")"),0)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IFERROR(__xludf.DUMMYFUNCTION("IMPORTRANGE(""https://docs.google.com/spreadsheets/d/1QqKyyYR6Q21VydFLVH3TRQUabQu_ym0Zz7PgGX0-kHA/edit?usp=sharing"",""แผน!F66"")"),0)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IFERROR(__xludf.DUMMYFUNCTION("IMPORTRANGE(""https://docs.google.com/spreadsheets/d/1QqKyyYR6Q21VydFLVH3TRQUabQu_ym0Zz7PgGX0-kHA/edit?usp=sharing"",""แผน!G66"")"),0)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IFERROR(__xludf.DUMMYFUNCTION("IMPORTRANGE(""https://docs.google.com/spreadsheets/d/1QqKyyYR6Q21VydFLVH3TRQUabQu_ym0Zz7PgGX0-kHA/edit?usp=sharing"",""แผน!D66"")"),0)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IFERROR(__xludf.DUMMYFUNCTION("IMPORTRANGE(""https://docs.google.com/spreadsheets/d/1QqKyyYR6Q21VydFLVH3TRQUabQu_ym0Zz7PgGX0-kHA/edit?usp=sharing"",""แผน!E66"")"),0)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IFERROR(__xludf.DUMMYFUNCTION("IMPORTRANGE(""https://docs.google.com/spreadsheets/d/1QqKyyYR6Q21VydFLVH3TRQUabQu_ym0Zz7PgGX0-kHA/edit?usp=sharing"",""แผน!J66"")"),0)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45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15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98760</v>
      </c>
      <c r="M88" s="151">
        <f t="shared" ca="1" si="49"/>
        <v>32760</v>
      </c>
      <c r="N88" s="151">
        <f t="shared" ca="1" si="49"/>
        <v>0</v>
      </c>
      <c r="O88" s="151">
        <f t="shared" ref="O88:O96" ca="1" si="50">IF(L88&gt;0,N88*100/L88,0)</f>
        <v>0</v>
      </c>
      <c r="P88" s="151">
        <f t="shared" ref="P88:P96" ca="1" si="51">IF(M88&gt;0,N88*100/M88,0)</f>
        <v>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98760</v>
      </c>
      <c r="M90" s="90">
        <f t="shared" ca="1" si="52"/>
        <v>32760</v>
      </c>
      <c r="N90" s="90">
        <f t="shared" ca="1" si="52"/>
        <v>0</v>
      </c>
      <c r="O90" s="90">
        <f t="shared" ca="1" si="50"/>
        <v>0</v>
      </c>
      <c r="P90" s="90">
        <f t="shared" ca="1" si="51"/>
        <v>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98760</v>
      </c>
      <c r="M91" s="495">
        <f t="shared" ca="1" si="53"/>
        <v>32760</v>
      </c>
      <c r="N91" s="495">
        <f t="shared" ca="1" si="53"/>
        <v>0</v>
      </c>
      <c r="O91" s="495">
        <f t="shared" ca="1" si="50"/>
        <v>0</v>
      </c>
      <c r="P91" s="495">
        <f t="shared" ca="1" si="51"/>
        <v>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IFERROR(__xludf.DUMMYFUNCTION("IMPORTRANGE(""https://docs.google.com/spreadsheets/d/1MeEWN-I1oV_STSDYn1IFDPWt_1FKiwhDph83XaGc0o0/edit?usp=sharing"",""งบพรบ!AQ66"")"),98760)</f>
        <v>98760</v>
      </c>
      <c r="M93" s="90">
        <f ca="1">IFERROR(__xludf.DUMMYFUNCTION("IMPORTRANGE(""https://docs.google.com/spreadsheets/d/1MeEWN-I1oV_STSDYn1IFDPWt_1FKiwhDph83XaGc0o0/edit?usp=sharing"",""งบพรบ!AV66"")"),32760)</f>
        <v>32760</v>
      </c>
      <c r="N93" s="90">
        <f ca="1">IFERROR(__xludf.DUMMYFUNCTION("IMPORTRANGE(""https://docs.google.com/spreadsheets/d/1MeEWN-I1oV_STSDYn1IFDPWt_1FKiwhDph83XaGc0o0/edit?usp=sharing"",""งบพรบ!AX66"")"),0)</f>
        <v>0</v>
      </c>
      <c r="O93" s="90">
        <f t="shared" ca="1" si="50"/>
        <v>0</v>
      </c>
      <c r="P93" s="90">
        <f t="shared" ca="1" si="51"/>
        <v>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IFERROR(__xludf.DUMMYFUNCTION("IMPORTRANGE(""https://docs.google.com/spreadsheets/d/1MeEWN-I1oV_STSDYn1IFDPWt_1FKiwhDph83XaGc0o0/edit?usp=sharing"",""งบพรบ!AT66"")"),0)</f>
        <v>0</v>
      </c>
      <c r="M96" s="90">
        <f ca="1">IFERROR(__xludf.DUMMYFUNCTION("IMPORTRANGE(""https://docs.google.com/spreadsheets/d/1MeEWN-I1oV_STSDYn1IFDPWt_1FKiwhDph83XaGc0o0/edit?usp=sharing"",""งบพรบ!AW66"")"),0)</f>
        <v>0</v>
      </c>
      <c r="N96" s="90">
        <f ca="1">IFERROR(__xludf.DUMMYFUNCTION("IMPORTRANGE(""https://docs.google.com/spreadsheets/d/1MeEWN-I1oV_STSDYn1IFDPWt_1FKiwhDph83XaGc0o0/edit?usp=sharing"",""งบพรบ!AY66"")"),0)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IFERROR(__xludf.DUMMYFUNCTION("IMPORTRANGE(""https://docs.google.com/spreadsheets/d/1QqKyyYR6Q21VydFLVH3TRQUabQu_ym0Zz7PgGX0-kHA/edit?usp=sharing"",""แผน!K66"")"),45)</f>
        <v>45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IFERROR(__xludf.DUMMYFUNCTION("IMPORTRANGE(""https://docs.google.com/spreadsheets/d/1QqKyyYR6Q21VydFLVH3TRQUabQu_ym0Zz7PgGX0-kHA/edit?usp=sharing"",""แผน!L66"")"),15)</f>
        <v>15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IFERROR(__xludf.DUMMYFUNCTION("IMPORTRANGE(""https://docs.google.com/spreadsheets/d/1QqKyyYR6Q21VydFLVH3TRQUabQu_ym0Zz7PgGX0-kHA/edit?usp=sharing"",""แผน!M66"")"),2)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IFERROR(__xludf.DUMMYFUNCTION("IMPORTRANGE(""https://docs.google.com/spreadsheets/d/1QqKyyYR6Q21VydFLVH3TRQUabQu_ym0Zz7PgGX0-kHA/edit?usp=sharing"",""แผน!N66"")"),45)</f>
        <v>45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IFERROR(__xludf.DUMMYFUNCTION("IMPORTRANGE(""https://docs.google.com/spreadsheets/d/1QqKyyYR6Q21VydFLVH3TRQUabQu_ym0Zz7PgGX0-kHA/edit?usp=sharing"",""แผน!O66"")"),15)</f>
        <v>15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IFERROR(__xludf.DUMMYFUNCTION("IMPORTRANGE(""https://docs.google.com/spreadsheets/d/1QqKyyYR6Q21VydFLVH3TRQUabQu_ym0Zz7PgGX0-kHA/edit?usp=sharing"",""แผน!O66"")"),15)</f>
        <v>15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IFERROR(__xludf.DUMMYFUNCTION("IMPORTRANGE(""https://docs.google.com/spreadsheets/d/1QqKyyYR6Q21VydFLVH3TRQUabQu_ym0Zz7PgGX0-kHA/edit?usp=sharing"",""แผน!P66"")"),1)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IFERROR(__xludf.DUMMYFUNCTION("IMPORTRANGE(""https://docs.google.com/spreadsheets/d/1QqKyyYR6Q21VydFLVH3TRQUabQu_ym0Zz7PgGX0-kHA/edit?usp=sharing"",""แผน!P66"")"),1)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IFERROR(__xludf.DUMMYFUNCTION("IMPORTRANGE(""https://docs.google.com/spreadsheets/d/1QqKyyYR6Q21VydFLVH3TRQUabQu_ym0Zz7PgGX0-kHA/edit?usp=sharing"",""แผน!Q66"")"),1)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IFERROR(__xludf.DUMMYFUNCTION("IMPORTRANGE(""https://docs.google.com/spreadsheets/d/1QqKyyYR6Q21VydFLVH3TRQUabQu_ym0Zz7PgGX0-kHA/edit?usp=sharing"",""แผน!Q66"")"),1)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IFERROR(__xludf.DUMMYFUNCTION("IMPORTRANGE(""https://docs.google.com/spreadsheets/d/1QqKyyYR6Q21VydFLVH3TRQUabQu_ym0Zz7PgGX0-kHA/edit?usp=sharing"",""แผน!R66"")"),15)</f>
        <v>15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IFERROR(__xludf.DUMMYFUNCTION("IMPORTRANGE(""https://docs.google.com/spreadsheets/d/1QqKyyYR6Q21VydFLVH3TRQUabQu_ym0Zz7PgGX0-kHA/edit?usp=sharing"",""แผน!R66"")"),15)</f>
        <v>15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IFERROR(__xludf.DUMMYFUNCTION("IMPORTRANGE(""https://docs.google.com/spreadsheets/d/1QqKyyYR6Q21VydFLVH3TRQUabQu_ym0Zz7PgGX0-kHA/edit?usp=sharing"",""แผน!R66"")"),15)</f>
        <v>15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IFERROR(__xludf.DUMMYFUNCTION("IMPORTRANGE(""https://docs.google.com/spreadsheets/d/1QqKyyYR6Q21VydFLVH3TRQUabQu_ym0Zz7PgGX0-kHA/edit?usp=sharing"",""แผน!S66"")"),1)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IFERROR(__xludf.DUMMYFUNCTION("IMPORTRANGE(""https://docs.google.com/spreadsheets/d/1QqKyyYR6Q21VydFLVH3TRQUabQu_ym0Zz7PgGX0-kHA/edit?usp=sharing"",""แผน!T66"")"),1)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IFERROR(__xludf.DUMMYFUNCTION("IMPORTRANGE(""https://docs.google.com/spreadsheets/d/1MeEWN-I1oV_STSDYn1IFDPWt_1FKiwhDph83XaGc0o0/edit?usp=sharing"",""งบพรบ!BA66"")"),0)</f>
        <v>0</v>
      </c>
      <c r="M124" s="90">
        <f ca="1">IFERROR(__xludf.DUMMYFUNCTION("IMPORTRANGE(""https://docs.google.com/spreadsheets/d/1MeEWN-I1oV_STSDYn1IFDPWt_1FKiwhDph83XaGc0o0/edit?usp=sharing"",""งบพรบ!BF66"")"),0)</f>
        <v>0</v>
      </c>
      <c r="N124" s="90">
        <f ca="1">IFERROR(__xludf.DUMMYFUNCTION("IMPORTRANGE(""https://docs.google.com/spreadsheets/d/1MeEWN-I1oV_STSDYn1IFDPWt_1FKiwhDph83XaGc0o0/edit?usp=sharing"",""งบพรบ!BH66"")"),0)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IFERROR(__xludf.DUMMYFUNCTION("IMPORTRANGE(""https://docs.google.com/spreadsheets/d/1MeEWN-I1oV_STSDYn1IFDPWt_1FKiwhDph83XaGc0o0/edit?usp=sharing"",""งบพรบ!BD66"")"),0)</f>
        <v>0</v>
      </c>
      <c r="M127" s="90">
        <f ca="1">IFERROR(__xludf.DUMMYFUNCTION("IMPORTRANGE(""https://docs.google.com/spreadsheets/d/1MeEWN-I1oV_STSDYn1IFDPWt_1FKiwhDph83XaGc0o0/edit?usp=sharing"",""งบพรบ!BG66"")"),0)</f>
        <v>0</v>
      </c>
      <c r="N127" s="90">
        <f ca="1">IFERROR(__xludf.DUMMYFUNCTION("IMPORTRANGE(""https://docs.google.com/spreadsheets/d/1MeEWN-I1oV_STSDYn1IFDPWt_1FKiwhDph83XaGc0o0/edit?usp=sharing"",""งบพรบ!BI66"")"),0)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IFERROR(__xludf.DUMMYFUNCTION("IMPORTRANGE(""https://docs.google.com/spreadsheets/d/1MeEWN-I1oV_STSDYn1IFDPWt_1FKiwhDph83XaGc0o0/edit?usp=sharing"",""งบพรบ!BK66"")"),0)</f>
        <v>0</v>
      </c>
      <c r="M137" s="90">
        <f ca="1">IFERROR(__xludf.DUMMYFUNCTION("IMPORTRANGE(""https://docs.google.com/spreadsheets/d/1MeEWN-I1oV_STSDYn1IFDPWt_1FKiwhDph83XaGc0o0/edit?usp=sharing"",""งบพรบ!BP66"")"),0)</f>
        <v>0</v>
      </c>
      <c r="N137" s="90">
        <f ca="1">IFERROR(__xludf.DUMMYFUNCTION("IMPORTRANGE(""https://docs.google.com/spreadsheets/d/1MeEWN-I1oV_STSDYn1IFDPWt_1FKiwhDph83XaGc0o0/edit?usp=sharing"",""งบพรบ!BR66"")"),0)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IFERROR(__xludf.DUMMYFUNCTION("IMPORTRANGE(""https://docs.google.com/spreadsheets/d/1MeEWN-I1oV_STSDYn1IFDPWt_1FKiwhDph83XaGc0o0/edit?usp=sharing"",""งบพรบ!BN66"")"),0)</f>
        <v>0</v>
      </c>
      <c r="M140" s="90">
        <f ca="1">IFERROR(__xludf.DUMMYFUNCTION("IMPORTRANGE(""https://docs.google.com/spreadsheets/d/1MeEWN-I1oV_STSDYn1IFDPWt_1FKiwhDph83XaGc0o0/edit?usp=sharing"",""งบพรบ!BQ66"")"),0)</f>
        <v>0</v>
      </c>
      <c r="N140" s="90">
        <f ca="1">IFERROR(__xludf.DUMMYFUNCTION("IMPORTRANGE(""https://docs.google.com/spreadsheets/d/1MeEWN-I1oV_STSDYn1IFDPWt_1FKiwhDph83XaGc0o0/edit?usp=sharing"",""งบพรบ!BS66"")"),0)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IFERROR(__xludf.DUMMYFUNCTION("IMPORTRANGE(""https://docs.google.com/spreadsheets/d/1QqKyyYR6Q21VydFLVH3TRQUabQu_ym0Zz7PgGX0-kHA/edit?usp=sharing"",""แผน!U66"")"),0)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IFERROR(__xludf.DUMMYFUNCTION("IMPORTRANGE(""https://docs.google.com/spreadsheets/d/1QqKyyYR6Q21VydFLVH3TRQUabQu_ym0Zz7PgGX0-kHA/edit?usp=sharing"",""แผน!V66"")"),0)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IFERROR(__xludf.DUMMYFUNCTION("IMPORTRANGE(""https://docs.google.com/spreadsheets/d/1QqKyyYR6Q21VydFLVH3TRQUabQu_ym0Zz7PgGX0-kHA/edit?usp=sharing"",""แผน!W66"")"),0)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IFERROR(__xludf.DUMMYFUNCTION("IMPORTRANGE(""https://docs.google.com/spreadsheets/d/1MeEWN-I1oV_STSDYn1IFDPWt_1FKiwhDph83XaGc0o0/edit?usp=sharing"",""งบพรบ!BU66"")"),0)</f>
        <v>0</v>
      </c>
      <c r="M154" s="90">
        <f ca="1">IFERROR(__xludf.DUMMYFUNCTION("IMPORTRANGE(""https://docs.google.com/spreadsheets/d/1MeEWN-I1oV_STSDYn1IFDPWt_1FKiwhDph83XaGc0o0/edit?usp=sharing"",""งบพรบ!BZ66"")"),0)</f>
        <v>0</v>
      </c>
      <c r="N154" s="90">
        <f ca="1">IFERROR(__xludf.DUMMYFUNCTION("IMPORTRANGE(""https://docs.google.com/spreadsheets/d/1MeEWN-I1oV_STSDYn1IFDPWt_1FKiwhDph83XaGc0o0/edit?usp=sharing"",""งบพรบ!CB66"")"),0)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IFERROR(__xludf.DUMMYFUNCTION("IMPORTRANGE(""https://docs.google.com/spreadsheets/d/1MeEWN-I1oV_STSDYn1IFDPWt_1FKiwhDph83XaGc0o0/edit?usp=sharing"",""งบพรบ!BX66"")"),0)</f>
        <v>0</v>
      </c>
      <c r="M157" s="90">
        <f ca="1">IFERROR(__xludf.DUMMYFUNCTION("IMPORTRANGE(""https://docs.google.com/spreadsheets/d/1MeEWN-I1oV_STSDYn1IFDPWt_1FKiwhDph83XaGc0o0/edit?usp=sharing"",""งบพรบ!CA66"")"),0)</f>
        <v>0</v>
      </c>
      <c r="N157" s="90">
        <f ca="1">IFERROR(__xludf.DUMMYFUNCTION("IMPORTRANGE(""https://docs.google.com/spreadsheets/d/1MeEWN-I1oV_STSDYn1IFDPWt_1FKiwhDph83XaGc0o0/edit?usp=sharing"",""งบพรบ!CC66"")"),0)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IFERROR(__xludf.DUMMYFUNCTION("IMPORTRANGE(""https://docs.google.com/spreadsheets/d/1QqKyyYR6Q21VydFLVH3TRQUabQu_ym0Zz7PgGX0-kHA/edit?usp=sharing"",""แผน!X66"")"),0)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15840</v>
      </c>
      <c r="O165" s="150">
        <f t="shared" ref="O165:O173" ca="1" si="85">IF(L165&gt;0,N165*100/L165,0)</f>
        <v>75.249406175771966</v>
      </c>
      <c r="P165" s="150">
        <f t="shared" ref="P165:P173" ca="1" si="86">IF(M165&gt;0,N165*100/M165,0)</f>
        <v>75.249406175771966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15840</v>
      </c>
      <c r="O167" s="90">
        <f t="shared" ca="1" si="85"/>
        <v>75.249406175771966</v>
      </c>
      <c r="P167" s="90">
        <f t="shared" ca="1" si="86"/>
        <v>75.249406175771966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15840</v>
      </c>
      <c r="O168" s="495">
        <f t="shared" ca="1" si="85"/>
        <v>75.249406175771966</v>
      </c>
      <c r="P168" s="495">
        <f t="shared" ca="1" si="86"/>
        <v>75.249406175771966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IFERROR(__xludf.DUMMYFUNCTION("IMPORTRANGE(""https://docs.google.com/spreadsheets/d/1MeEWN-I1oV_STSDYn1IFDPWt_1FKiwhDph83XaGc0o0/edit?usp=sharing"",""งบพรบ!CE66"")"),21050)</f>
        <v>21050</v>
      </c>
      <c r="M170" s="90">
        <f ca="1">IFERROR(__xludf.DUMMYFUNCTION("IMPORTRANGE(""https://docs.google.com/spreadsheets/d/1MeEWN-I1oV_STSDYn1IFDPWt_1FKiwhDph83XaGc0o0/edit?usp=sharing"",""งบพรบ!CJ66"")"),21050)</f>
        <v>21050</v>
      </c>
      <c r="N170" s="90">
        <f ca="1">IFERROR(__xludf.DUMMYFUNCTION("IMPORTRANGE(""https://docs.google.com/spreadsheets/d/1MeEWN-I1oV_STSDYn1IFDPWt_1FKiwhDph83XaGc0o0/edit?usp=sharing"",""งบพรบ!CL66"")"),15840)</f>
        <v>15840</v>
      </c>
      <c r="O170" s="90">
        <f t="shared" ca="1" si="85"/>
        <v>75.249406175771966</v>
      </c>
      <c r="P170" s="90">
        <f t="shared" ca="1" si="86"/>
        <v>75.249406175771966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IFERROR(__xludf.DUMMYFUNCTION("IMPORTRANGE(""https://docs.google.com/spreadsheets/d/1MeEWN-I1oV_STSDYn1IFDPWt_1FKiwhDph83XaGc0o0/edit?usp=sharing"",""งบพรบ!CH66"")"),0)</f>
        <v>0</v>
      </c>
      <c r="M173" s="90">
        <f ca="1">IFERROR(__xludf.DUMMYFUNCTION("IMPORTRANGE(""https://docs.google.com/spreadsheets/d/1MeEWN-I1oV_STSDYn1IFDPWt_1FKiwhDph83XaGc0o0/edit?usp=sharing"",""งบพรบ!CK66"")"),0)</f>
        <v>0</v>
      </c>
      <c r="N173" s="90">
        <f ca="1">IFERROR(__xludf.DUMMYFUNCTION("IMPORTRANGE(""https://docs.google.com/spreadsheets/d/1MeEWN-I1oV_STSDYn1IFDPWt_1FKiwhDph83XaGc0o0/edit?usp=sharing"",""งบพรบ!CM66"")"),0)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IFERROR(__xludf.DUMMYFUNCTION("IMPORTRANGE(""https://docs.google.com/spreadsheets/d/1QqKyyYR6Q21VydFLVH3TRQUabQu_ym0Zz7PgGX0-kHA/edit?usp=sharing"",""แผน!Y66"")"),10)</f>
        <v>10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253200</v>
      </c>
      <c r="M181" s="150">
        <f t="shared" ca="1" si="91"/>
        <v>123500</v>
      </c>
      <c r="N181" s="150">
        <f t="shared" ca="1" si="91"/>
        <v>35440</v>
      </c>
      <c r="O181" s="150">
        <f t="shared" ref="O181:O189" ca="1" si="92">IF(L181&gt;0,N181*100/L181,0)</f>
        <v>13.996840442338073</v>
      </c>
      <c r="P181" s="150">
        <f t="shared" ref="P181:P189" ca="1" si="93">IF(M181&gt;0,N181*100/M181,0)</f>
        <v>28.696356275303643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253200</v>
      </c>
      <c r="M183" s="90">
        <f t="shared" ca="1" si="94"/>
        <v>123500</v>
      </c>
      <c r="N183" s="90">
        <f t="shared" ca="1" si="94"/>
        <v>35440</v>
      </c>
      <c r="O183" s="90">
        <f t="shared" ca="1" si="92"/>
        <v>13.996840442338073</v>
      </c>
      <c r="P183" s="90">
        <f t="shared" ca="1" si="93"/>
        <v>28.696356275303643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253200</v>
      </c>
      <c r="M184" s="495">
        <f t="shared" ca="1" si="95"/>
        <v>123500</v>
      </c>
      <c r="N184" s="495">
        <f t="shared" ca="1" si="95"/>
        <v>35440</v>
      </c>
      <c r="O184" s="495">
        <f t="shared" ca="1" si="92"/>
        <v>13.996840442338073</v>
      </c>
      <c r="P184" s="495">
        <f t="shared" ca="1" si="93"/>
        <v>28.696356275303643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IFERROR(__xludf.DUMMYFUNCTION("IMPORTRANGE(""https://docs.google.com/spreadsheets/d/1MeEWN-I1oV_STSDYn1IFDPWt_1FKiwhDph83XaGc0o0/edit?usp=sharing"",""งบพรบ!CO66"")"),253200)</f>
        <v>253200</v>
      </c>
      <c r="M186" s="90">
        <f ca="1">IFERROR(__xludf.DUMMYFUNCTION("IMPORTRANGE(""https://docs.google.com/spreadsheets/d/1MeEWN-I1oV_STSDYn1IFDPWt_1FKiwhDph83XaGc0o0/edit?usp=sharing"",""งบพรบ!CT66"")"),123500)</f>
        <v>123500</v>
      </c>
      <c r="N186" s="90">
        <f ca="1">IFERROR(__xludf.DUMMYFUNCTION("IMPORTRANGE(""https://docs.google.com/spreadsheets/d/1MeEWN-I1oV_STSDYn1IFDPWt_1FKiwhDph83XaGc0o0/edit?usp=sharing"",""งบพรบ!CV66"")"),35440)</f>
        <v>35440</v>
      </c>
      <c r="O186" s="90">
        <f t="shared" ca="1" si="92"/>
        <v>13.996840442338073</v>
      </c>
      <c r="P186" s="90">
        <f t="shared" ca="1" si="93"/>
        <v>28.696356275303643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IFERROR(__xludf.DUMMYFUNCTION("IMPORTRANGE(""https://docs.google.com/spreadsheets/d/1MeEWN-I1oV_STSDYn1IFDPWt_1FKiwhDph83XaGc0o0/edit?usp=sharing"",""งบพรบ!CR66"")"),0)</f>
        <v>0</v>
      </c>
      <c r="M189" s="90">
        <f ca="1">IFERROR(__xludf.DUMMYFUNCTION("IMPORTRANGE(""https://docs.google.com/spreadsheets/d/1MeEWN-I1oV_STSDYn1IFDPWt_1FKiwhDph83XaGc0o0/edit?usp=sharing"",""งบพรบ!CU66"")"),0)</f>
        <v>0</v>
      </c>
      <c r="N189" s="90">
        <f ca="1">IFERROR(__xludf.DUMMYFUNCTION("IMPORTRANGE(""https://docs.google.com/spreadsheets/d/1MeEWN-I1oV_STSDYn1IFDPWt_1FKiwhDph83XaGc0o0/edit?usp=sharing"",""งบพรบ!CW66"")"),0)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IFERROR(__xludf.DUMMYFUNCTION("IMPORTRANGE(""https://docs.google.com/spreadsheets/d/1QqKyyYR6Q21VydFLVH3TRQUabQu_ym0Zz7PgGX0-kHA/edit?usp=sharing"",""แผน!Z66"")"),6000)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IFERROR(__xludf.DUMMYFUNCTION("IMPORTRANGE(""https://docs.google.com/spreadsheets/d/1QqKyyYR6Q21VydFLVH3TRQUabQu_ym0Zz7PgGX0-kHA/edit?usp=sharing"",""แผน!AC66"")"),4)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1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13000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IFERROR(__xludf.DUMMYFUNCTION("IMPORTRANGE(""https://docs.google.com/spreadsheets/d/1QqKyyYR6Q21VydFLVH3TRQUabQu_ym0Zz7PgGX0-kHA/edit?usp=sharing"",""แผน!AE66"")"),1000)</f>
        <v>1000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IFERROR(__xludf.DUMMYFUNCTION("IMPORTRANGE(""https://docs.google.com/spreadsheets/d/1QqKyyYR6Q21VydFLVH3TRQUabQu_ym0Zz7PgGX0-kHA/edit?usp=sharing"",""แผน!AF66"")"),8000)</f>
        <v>8000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IFERROR(__xludf.DUMMYFUNCTION("IMPORTRANGE(""https://docs.google.com/spreadsheets/d/1QqKyyYR6Q21VydFLVH3TRQUabQu_ym0Zz7PgGX0-kHA/edit?usp=sharing"",""แผน!AG66"")"),4000)</f>
        <v>4000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IFERROR(__xludf.DUMMYFUNCTION("IMPORTRANGE(""https://docs.google.com/spreadsheets/d/1QqKyyYR6Q21VydFLVH3TRQUabQu_ym0Zz7PgGX0-kHA/edit?usp=sharing"",""แผน!AH66"")"),0)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IFERROR(__xludf.DUMMYFUNCTION("IMPORTRANGE(""https://docs.google.com/spreadsheets/d/1QqKyyYR6Q21VydFLVH3TRQUabQu_ym0Zz7PgGX0-kHA/edit?usp=sharing"",""แผน!AI66"")"),1)</f>
        <v>1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1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IFERROR(__xludf.DUMMYFUNCTION("IMPORTRANGE(""https://docs.google.com/spreadsheets/d/1QqKyyYR6Q21VydFLVH3TRQUabQu_ym0Zz7PgGX0-kHA/edit?usp=sharing"",""แผน!AK66"")"),0)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IFERROR(__xludf.DUMMYFUNCTION("IMPORTRANGE(""https://docs.google.com/spreadsheets/d/1QqKyyYR6Q21VydFLVH3TRQUabQu_ym0Zz7PgGX0-kHA/edit?usp=sharing"",""แผน!AL66"")"),0)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IFERROR(__xludf.DUMMYFUNCTION("IMPORTRANGE(""https://docs.google.com/spreadsheets/d/1QqKyyYR6Q21VydFLVH3TRQUabQu_ym0Zz7PgGX0-kHA/edit?usp=sharing"",""แผน!AM66"")"),0)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IFERROR(__xludf.DUMMYFUNCTION("IMPORTRANGE(""https://docs.google.com/spreadsheets/d/1QqKyyYR6Q21VydFLVH3TRQUabQu_ym0Zz7PgGX0-kHA/edit?usp=sharing"",""แผน!AN66"")"),0)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IFERROR(__xludf.DUMMYFUNCTION("IMPORTRANGE(""https://docs.google.com/spreadsheets/d/1QqKyyYR6Q21VydFLVH3TRQUabQu_ym0Zz7PgGX0-kHA/edit?usp=sharing"",""แผน!AN66"")"),0)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6400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6200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IFERROR(__xludf.DUMMYFUNCTION("IMPORTRANGE(""https://docs.google.com/spreadsheets/d/1QqKyyYR6Q21VydFLVH3TRQUabQu_ym0Zz7PgGX0-kHA/edit?usp=sharing"",""แผน!AP66"")"),3000)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IFERROR(__xludf.DUMMYFUNCTION("IMPORTRANGE(""https://docs.google.com/spreadsheets/d/1QqKyyYR6Q21VydFLVH3TRQUabQu_ym0Zz7PgGX0-kHA/edit?usp=sharing"",""แผน!AQ66"")"),3200)</f>
        <v>3200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IFERROR(__xludf.DUMMYFUNCTION("IMPORTRANGE(""https://docs.google.com/spreadsheets/d/1QqKyyYR6Q21VydFLVH3TRQUabQu_ym0Zz7PgGX0-kHA/edit?usp=sharing"",""แผน!AR66"")"),0)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IFERROR(__xludf.DUMMYFUNCTION("IMPORTRANGE(""https://docs.google.com/spreadsheets/d/1QqKyyYR6Q21VydFLVH3TRQUabQu_ym0Zz7PgGX0-kHA/edit?usp=sharing"",""แผน!AT66"")"),6400)</f>
        <v>6400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IFERROR(__xludf.DUMMYFUNCTION("IMPORTRANGE(""https://docs.google.com/spreadsheets/d/1QqKyyYR6Q21VydFLVH3TRQUabQu_ym0Zz7PgGX0-kHA/edit?usp=sharing"",""แผน!AT66"")"),6400)</f>
        <v>6400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IFERROR(__xludf.DUMMYFUNCTION("IMPORTRANGE(""https://docs.google.com/spreadsheets/d/1QqKyyYR6Q21VydFLVH3TRQUabQu_ym0Zz7PgGX0-kHA/edit?usp=sharing"",""แผน!AS66"")"),0)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78000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20000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28000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20000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10000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20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1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20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78000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IFERROR(__xludf.DUMMYFUNCTION("IMPORTRANGE(""https://docs.google.com/spreadsheets/d/1QqKyyYR6Q21VydFLVH3TRQUabQu_ym0Zz7PgGX0-kHA/edit?usp=sharing"",""แผน!AV66"")"),20000)</f>
        <v>20000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IFERROR(__xludf.DUMMYFUNCTION("IMPORTRANGE(""https://docs.google.com/spreadsheets/d/1QqKyyYR6Q21VydFLVH3TRQUabQu_ym0Zz7PgGX0-kHA/edit?usp=sharing"",""แผน!AW66"")"),28000)</f>
        <v>28000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IFERROR(__xludf.DUMMYFUNCTION("IMPORTRANGE(""https://docs.google.com/spreadsheets/d/1QqKyyYR6Q21VydFLVH3TRQUabQu_ym0Zz7PgGX0-kHA/edit?usp=sharing"",""แผน!AX66"")"),20000)</f>
        <v>20000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IFERROR(__xludf.DUMMYFUNCTION("IMPORTRANGE(""https://docs.google.com/spreadsheets/d/1QqKyyYR6Q21VydFLVH3TRQUabQu_ym0Zz7PgGX0-kHA/edit?usp=sharing"",""แผน!AY66"")"),10000)</f>
        <v>10000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IFERROR(__xludf.DUMMYFUNCTION("IMPORTRANGE(""https://docs.google.com/spreadsheets/d/1QqKyyYR6Q21VydFLVH3TRQUabQu_ym0Zz7PgGX0-kHA/edit?usp=sharing"",""แผน!BE66"")"),20)</f>
        <v>20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20</v>
      </c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IFERROR(__xludf.DUMMYFUNCTION("IMPORTRANGE(""https://docs.google.com/spreadsheets/d/1QqKyyYR6Q21VydFLVH3TRQUabQu_ym0Zz7PgGX0-kHA/edit?usp=sharing"",""แผน!AZ66"")"),0)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IFERROR(__xludf.DUMMYFUNCTION("IMPORTRANGE(""https://docs.google.com/spreadsheets/d/1QqKyyYR6Q21VydFLVH3TRQUabQu_ym0Zz7PgGX0-kHA/edit?usp=sharing"",""แผน!BA66"")"),0)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IFERROR(__xludf.DUMMYFUNCTION("IMPORTRANGE(""https://docs.google.com/spreadsheets/d/1QqKyyYR6Q21VydFLVH3TRQUabQu_ym0Zz7PgGX0-kHA/edit?usp=sharing"",""แผน!BB66"")"),0)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IFERROR(__xludf.DUMMYFUNCTION("IMPORTRANGE(""https://docs.google.com/spreadsheets/d/1QqKyyYR6Q21VydFLVH3TRQUabQu_ym0Zz7PgGX0-kHA/edit?usp=sharing"",""แผน!BC66"")"),0)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IFERROR(__xludf.DUMMYFUNCTION("IMPORTRANGE(""https://docs.google.com/spreadsheets/d/1QqKyyYR6Q21VydFLVH3TRQUabQu_ym0Zz7PgGX0-kHA/edit?usp=sharing"",""แผน!BF66"")"),"")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IFERROR(__xludf.DUMMYFUNCTION("IMPORTRANGE(""https://docs.google.com/spreadsheets/d/1MeEWN-I1oV_STSDYn1IFDPWt_1FKiwhDph83XaGc0o0/edit?usp=sharing"",""งบพรบ!CY66"")"),26900)</f>
        <v>26900</v>
      </c>
      <c r="M266" s="90">
        <f ca="1">IFERROR(__xludf.DUMMYFUNCTION("IMPORTRANGE(""https://docs.google.com/spreadsheets/d/1MeEWN-I1oV_STSDYn1IFDPWt_1FKiwhDph83XaGc0o0/edit?usp=sharing"",""งบพรบ!DD66"")"),0)</f>
        <v>0</v>
      </c>
      <c r="N266" s="90">
        <f ca="1">IFERROR(__xludf.DUMMYFUNCTION("IMPORTRANGE(""https://docs.google.com/spreadsheets/d/1MeEWN-I1oV_STSDYn1IFDPWt_1FKiwhDph83XaGc0o0/edit?usp=sharing"",""งบพรบ!DF66"")"),0)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IFERROR(__xludf.DUMMYFUNCTION("IMPORTRANGE(""https://docs.google.com/spreadsheets/d/1MeEWN-I1oV_STSDYn1IFDPWt_1FKiwhDph83XaGc0o0/edit?usp=sharing"",""งบพรบ!DB66"")"),0)</f>
        <v>0</v>
      </c>
      <c r="M269" s="90">
        <f ca="1">IFERROR(__xludf.DUMMYFUNCTION("IMPORTRANGE(""https://docs.google.com/spreadsheets/d/1MeEWN-I1oV_STSDYn1IFDPWt_1FKiwhDph83XaGc0o0/edit?usp=sharing"",""งบพรบ!DE66"")"),0)</f>
        <v>0</v>
      </c>
      <c r="N269" s="90">
        <f ca="1">IFERROR(__xludf.DUMMYFUNCTION("IMPORTRANGE(""https://docs.google.com/spreadsheets/d/1MeEWN-I1oV_STSDYn1IFDPWt_1FKiwhDph83XaGc0o0/edit?usp=sharing"",""งบพรบ!DG66"")"),0)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IFERROR(__xludf.DUMMYFUNCTION("IMPORTRANGE(""https://docs.google.com/spreadsheets/d/1QqKyyYR6Q21VydFLVH3TRQUabQu_ym0Zz7PgGX0-kHA/edit?usp=sharing"",""แผน!EA66"")"),22)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0</v>
      </c>
      <c r="M277" s="151">
        <f t="shared" ca="1" si="124"/>
        <v>0</v>
      </c>
      <c r="N277" s="151">
        <f t="shared" ca="1" si="124"/>
        <v>0</v>
      </c>
      <c r="O277" s="151">
        <f t="shared" ref="O277:O285" ca="1" si="125">IF(L277&gt;0,N277*100/L277,0)</f>
        <v>0</v>
      </c>
      <c r="P277" s="151">
        <f t="shared" ref="P277:P285" ca="1" si="126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0</v>
      </c>
      <c r="M279" s="90">
        <f t="shared" ca="1" si="127"/>
        <v>0</v>
      </c>
      <c r="N279" s="90">
        <f t="shared" ca="1" si="127"/>
        <v>0</v>
      </c>
      <c r="O279" s="90">
        <f t="shared" ca="1" si="125"/>
        <v>0</v>
      </c>
      <c r="P279" s="90">
        <f t="shared" ca="1" si="126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0</v>
      </c>
      <c r="M280" s="495">
        <f t="shared" ca="1" si="128"/>
        <v>0</v>
      </c>
      <c r="N280" s="495">
        <f t="shared" ca="1" si="128"/>
        <v>0</v>
      </c>
      <c r="O280" s="495">
        <f t="shared" ca="1" si="125"/>
        <v>0</v>
      </c>
      <c r="P280" s="495">
        <f t="shared" ca="1" si="126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IFERROR(__xludf.DUMMYFUNCTION("IMPORTRANGE(""https://docs.google.com/spreadsheets/d/1MeEWN-I1oV_STSDYn1IFDPWt_1FKiwhDph83XaGc0o0/edit?usp=sharing"",""งบพรบ!DI66"")"),0)</f>
        <v>0</v>
      </c>
      <c r="M282" s="90">
        <f ca="1">IFERROR(__xludf.DUMMYFUNCTION("IMPORTRANGE(""https://docs.google.com/spreadsheets/d/1MeEWN-I1oV_STSDYn1IFDPWt_1FKiwhDph83XaGc0o0/edit?usp=sharing"",""งบพรบ!DN66"")"),0)</f>
        <v>0</v>
      </c>
      <c r="N282" s="90">
        <f ca="1">IFERROR(__xludf.DUMMYFUNCTION("IMPORTRANGE(""https://docs.google.com/spreadsheets/d/1MeEWN-I1oV_STSDYn1IFDPWt_1FKiwhDph83XaGc0o0/edit?usp=sharing"",""งบพรบ!DP66"")"),0)</f>
        <v>0</v>
      </c>
      <c r="O282" s="90">
        <f t="shared" ca="1" si="125"/>
        <v>0</v>
      </c>
      <c r="P282" s="90">
        <f t="shared" ca="1" si="126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IFERROR(__xludf.DUMMYFUNCTION("IMPORTRANGE(""https://docs.google.com/spreadsheets/d/1MeEWN-I1oV_STSDYn1IFDPWt_1FKiwhDph83XaGc0o0/edit?usp=sharing"",""งบพรบ!DL66"")"),0)</f>
        <v>0</v>
      </c>
      <c r="M285" s="90">
        <f ca="1">IFERROR(__xludf.DUMMYFUNCTION("IMPORTRANGE(""https://docs.google.com/spreadsheets/d/1MeEWN-I1oV_STSDYn1IFDPWt_1FKiwhDph83XaGc0o0/edit?usp=sharing"",""งบพรบ!DO66"")"),0)</f>
        <v>0</v>
      </c>
      <c r="N285" s="90">
        <f ca="1">IFERROR(__xludf.DUMMYFUNCTION("IMPORTRANGE(""https://docs.google.com/spreadsheets/d/1MeEWN-I1oV_STSDYn1IFDPWt_1FKiwhDph83XaGc0o0/edit?usp=sharing"",""งบพรบ!DQ66"")"),0)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IFERROR(__xludf.DUMMYFUNCTION("IMPORTRANGE(""https://docs.google.com/spreadsheets/d/1QqKyyYR6Q21VydFLVH3TRQUabQu_ym0Zz7PgGX0-kHA/edit?usp=sharing"",""แผน!EC66"")"),0)</f>
        <v>0</v>
      </c>
      <c r="J287" s="264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IFERROR(__xludf.DUMMYFUNCTION("IMPORTRANGE(""https://docs.google.com/spreadsheets/d/1QqKyyYR6Q21VydFLVH3TRQUabQu_ym0Zz7PgGX0-kHA/edit?usp=sharing"",""แผน!EB66"")"),0)</f>
        <v>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IFERROR(__xludf.DUMMYFUNCTION("IMPORTRANGE(""https://docs.google.com/spreadsheets/d/1QqKyyYR6Q21VydFLVH3TRQUabQu_ym0Zz7PgGX0-kHA/edit?usp=sharing"",""แผน!EB66"")"),0)</f>
        <v>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IFERROR(__xludf.DUMMYFUNCTION("IMPORTRANGE(""https://docs.google.com/spreadsheets/d/1QqKyyYR6Q21VydFLVH3TRQUabQu_ym0Zz7PgGX0-kHA/edit?usp=sharing"",""แผน!EB66"")"),0)</f>
        <v>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IFERROR(__xludf.DUMMYFUNCTION("IMPORTRANGE(""https://docs.google.com/spreadsheets/d/1QqKyyYR6Q21VydFLVH3TRQUabQu_ym0Zz7PgGX0-kHA/edit?usp=sharing"",""แผน!EB66"")"),0)</f>
        <v>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IFERROR(__xludf.DUMMYFUNCTION("IMPORTRANGE(""https://docs.google.com/spreadsheets/d/1QqKyyYR6Q21VydFLVH3TRQUabQu_ym0Zz7PgGX0-kHA/edit?usp=sharing"",""แผน!EB66"")"),0)</f>
        <v>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25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244000</v>
      </c>
      <c r="M298" s="151">
        <f t="shared" ca="1" si="134"/>
        <v>125400</v>
      </c>
      <c r="N298" s="151">
        <f t="shared" ca="1" si="134"/>
        <v>30062</v>
      </c>
      <c r="O298" s="151">
        <f t="shared" ref="O298:O306" ca="1" si="135">IF(L298&gt;0,N298*100/L298,0)</f>
        <v>12.320491803278689</v>
      </c>
      <c r="P298" s="151">
        <f t="shared" ref="P298:P306" ca="1" si="136">IF(M298&gt;0,N298*100/M298,0)</f>
        <v>23.972886762360446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244000</v>
      </c>
      <c r="M300" s="90">
        <f t="shared" ca="1" si="137"/>
        <v>125400</v>
      </c>
      <c r="N300" s="90">
        <f t="shared" ca="1" si="137"/>
        <v>30062</v>
      </c>
      <c r="O300" s="90">
        <f t="shared" ca="1" si="135"/>
        <v>12.320491803278689</v>
      </c>
      <c r="P300" s="90">
        <f t="shared" ca="1" si="136"/>
        <v>23.972886762360446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244000</v>
      </c>
      <c r="M301" s="495">
        <f t="shared" ca="1" si="138"/>
        <v>125400</v>
      </c>
      <c r="N301" s="495">
        <f t="shared" ca="1" si="138"/>
        <v>30062</v>
      </c>
      <c r="O301" s="495">
        <f t="shared" ca="1" si="135"/>
        <v>12.320491803278689</v>
      </c>
      <c r="P301" s="495">
        <f t="shared" ca="1" si="136"/>
        <v>23.972886762360446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IFERROR(__xludf.DUMMYFUNCTION("IMPORTRANGE(""https://docs.google.com/spreadsheets/d/1MeEWN-I1oV_STSDYn1IFDPWt_1FKiwhDph83XaGc0o0/edit?usp=sharing"",""งบพรบ!DS66"")"),244000)</f>
        <v>244000</v>
      </c>
      <c r="M303" s="90">
        <f ca="1">IFERROR(__xludf.DUMMYFUNCTION("IMPORTRANGE(""https://docs.google.com/spreadsheets/d/1MeEWN-I1oV_STSDYn1IFDPWt_1FKiwhDph83XaGc0o0/edit?usp=sharing"",""งบพรบ!DX66"")"),125400)</f>
        <v>125400</v>
      </c>
      <c r="N303" s="90">
        <f ca="1">IFERROR(__xludf.DUMMYFUNCTION("IMPORTRANGE(""https://docs.google.com/spreadsheets/d/1MeEWN-I1oV_STSDYn1IFDPWt_1FKiwhDph83XaGc0o0/edit?usp=sharing"",""งบพรบ!DZ66"")"),30062)</f>
        <v>30062</v>
      </c>
      <c r="O303" s="90">
        <f t="shared" ca="1" si="135"/>
        <v>12.320491803278689</v>
      </c>
      <c r="P303" s="90">
        <f t="shared" ca="1" si="136"/>
        <v>23.972886762360446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IFERROR(__xludf.DUMMYFUNCTION("IMPORTRANGE(""https://docs.google.com/spreadsheets/d/1MeEWN-I1oV_STSDYn1IFDPWt_1FKiwhDph83XaGc0o0/edit?usp=sharing"",""งบพรบ!DV66"")"),0)</f>
        <v>0</v>
      </c>
      <c r="M306" s="90">
        <f ca="1">IFERROR(__xludf.DUMMYFUNCTION("IMPORTRANGE(""https://docs.google.com/spreadsheets/d/1MeEWN-I1oV_STSDYn1IFDPWt_1FKiwhDph83XaGc0o0/edit?usp=sharing"",""งบพรบ!DY66"")"),0)</f>
        <v>0</v>
      </c>
      <c r="N306" s="90">
        <f ca="1">IFERROR(__xludf.DUMMYFUNCTION("IMPORTRANGE(""https://docs.google.com/spreadsheets/d/1MeEWN-I1oV_STSDYn1IFDPWt_1FKiwhDph83XaGc0o0/edit?usp=sharing"",""งบพรบ!EA66"")"),0)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IFERROR(__xludf.DUMMYFUNCTION("IMPORTRANGE(""https://docs.google.com/spreadsheets/d/1QqKyyYR6Q21VydFLVH3TRQUabQu_ym0Zz7PgGX0-kHA/edit?usp=sharing"",""แผน!ED66"")"),25)</f>
        <v>25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IFERROR(__xludf.DUMMYFUNCTION("IMPORTRANGE(""https://docs.google.com/spreadsheets/d/1QqKyyYR6Q21VydFLVH3TRQUabQu_ym0Zz7PgGX0-kHA/edit?usp=sharing"",""แผน!ED66"")"),25)</f>
        <v>25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IFERROR(__xludf.DUMMYFUNCTION("IMPORTRANGE(""https://docs.google.com/spreadsheets/d/1QqKyyYR6Q21VydFLVH3TRQUabQu_ym0Zz7PgGX0-kHA/edit?usp=sharing"",""แผน!ED66"")"),25)</f>
        <v>25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IFERROR(__xludf.DUMMYFUNCTION("IMPORTRANGE(""https://docs.google.com/spreadsheets/d/1QqKyyYR6Q21VydFLVH3TRQUabQu_ym0Zz7PgGX0-kHA/edit?usp=sharing"",""แผน!EE66"")"),5)</f>
        <v>5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IFERROR(__xludf.DUMMYFUNCTION("IMPORTRANGE(""https://docs.google.com/spreadsheets/d/1MeEWN-I1oV_STSDYn1IFDPWt_1FKiwhDph83XaGc0o0/edit?usp=sharing"",""งบพรบ!EC66"")"),0)</f>
        <v>0</v>
      </c>
      <c r="M320" s="90">
        <f ca="1">IFERROR(__xludf.DUMMYFUNCTION("IMPORTRANGE(""https://docs.google.com/spreadsheets/d/1MeEWN-I1oV_STSDYn1IFDPWt_1FKiwhDph83XaGc0o0/edit?usp=sharing"",""งบพรบ!EH66"")"),0)</f>
        <v>0</v>
      </c>
      <c r="N320" s="90">
        <f ca="1">IFERROR(__xludf.DUMMYFUNCTION("IMPORTRANGE(""https://docs.google.com/spreadsheets/d/1MeEWN-I1oV_STSDYn1IFDPWt_1FKiwhDph83XaGc0o0/edit?usp=sharing"",""งบพรบ!EJ66"")"),0)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IFERROR(__xludf.DUMMYFUNCTION("IMPORTRANGE(""https://docs.google.com/spreadsheets/d/1MeEWN-I1oV_STSDYn1IFDPWt_1FKiwhDph83XaGc0o0/edit?usp=sharing"",""งบพรบ!EF66"")"),0)</f>
        <v>0</v>
      </c>
      <c r="M323" s="90">
        <f ca="1">IFERROR(__xludf.DUMMYFUNCTION("IMPORTRANGE(""https://docs.google.com/spreadsheets/d/1MeEWN-I1oV_STSDYn1IFDPWt_1FKiwhDph83XaGc0o0/edit?usp=sharing"",""งบพรบ!EI66"")"),0)</f>
        <v>0</v>
      </c>
      <c r="N323" s="90">
        <f ca="1">IFERROR(__xludf.DUMMYFUNCTION("IMPORTRANGE(""https://docs.google.com/spreadsheets/d/1MeEWN-I1oV_STSDYn1IFDPWt_1FKiwhDph83XaGc0o0/edit?usp=sharing"",""งบพรบ!EK66"")"),0)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IFERROR(__xludf.DUMMYFUNCTION("IMPORTRANGE(""https://docs.google.com/spreadsheets/d/1QqKyyYR6Q21VydFLVH3TRQUabQu_ym0Zz7PgGX0-kHA/edit?usp=sharing"",""แผน!EF66"")"),0)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IFERROR(__xludf.DUMMYFUNCTION("IMPORTRANGE(""https://docs.google.com/spreadsheets/d/1QqKyyYR6Q21VydFLVH3TRQUabQu_ym0Zz7PgGX0-kHA/edit?usp=sharing"",""แผน!EG66"")"),400)</f>
        <v>400</v>
      </c>
      <c r="J327" s="442">
        <f ca="1">J338+J341+J342+J343</f>
        <v>66</v>
      </c>
      <c r="K327" s="443">
        <f ca="1">IF(I327&gt;0,J327*100/I327,0)</f>
        <v>16.5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157000</v>
      </c>
      <c r="M328" s="151">
        <f t="shared" ca="1" si="148"/>
        <v>78500</v>
      </c>
      <c r="N328" s="151">
        <f t="shared" ca="1" si="148"/>
        <v>36261.1</v>
      </c>
      <c r="O328" s="151">
        <f t="shared" ref="O328:O336" ca="1" si="149">IF(L328&gt;0,N328*100/L328,0)</f>
        <v>23.096242038216559</v>
      </c>
      <c r="P328" s="151">
        <f t="shared" ref="P328:P336" ca="1" si="150">IF(M328&gt;0,N328*100/M328,0)</f>
        <v>46.192484076433118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157000</v>
      </c>
      <c r="M330" s="90">
        <f t="shared" ca="1" si="151"/>
        <v>78500</v>
      </c>
      <c r="N330" s="90">
        <f t="shared" ca="1" si="151"/>
        <v>36261.1</v>
      </c>
      <c r="O330" s="90">
        <f t="shared" ca="1" si="149"/>
        <v>23.096242038216559</v>
      </c>
      <c r="P330" s="90">
        <f t="shared" ca="1" si="150"/>
        <v>46.192484076433118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157000</v>
      </c>
      <c r="M331" s="495">
        <f t="shared" ca="1" si="152"/>
        <v>78500</v>
      </c>
      <c r="N331" s="495">
        <f t="shared" ca="1" si="152"/>
        <v>36261.1</v>
      </c>
      <c r="O331" s="495">
        <f t="shared" ca="1" si="149"/>
        <v>23.096242038216559</v>
      </c>
      <c r="P331" s="495">
        <f t="shared" ca="1" si="150"/>
        <v>46.192484076433118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IFERROR(__xludf.DUMMYFUNCTION("IMPORTRANGE(""https://docs.google.com/spreadsheets/d/1MeEWN-I1oV_STSDYn1IFDPWt_1FKiwhDph83XaGc0o0/edit?usp=sharing"",""งบพรบ!EM66"")"),157000)</f>
        <v>157000</v>
      </c>
      <c r="M333" s="90">
        <f ca="1">IFERROR(__xludf.DUMMYFUNCTION("IMPORTRANGE(""https://docs.google.com/spreadsheets/d/1MeEWN-I1oV_STSDYn1IFDPWt_1FKiwhDph83XaGc0o0/edit?usp=sharing"",""งบพรบ!ER66"")"),78500)</f>
        <v>78500</v>
      </c>
      <c r="N333" s="90">
        <f ca="1">IFERROR(__xludf.DUMMYFUNCTION("IMPORTRANGE(""https://docs.google.com/spreadsheets/d/1MeEWN-I1oV_STSDYn1IFDPWt_1FKiwhDph83XaGc0o0/edit?usp=sharing"",""งบพรบ!ET66"")"),36261.1)</f>
        <v>36261.1</v>
      </c>
      <c r="O333" s="90">
        <f t="shared" ca="1" si="149"/>
        <v>23.096242038216559</v>
      </c>
      <c r="P333" s="90">
        <f t="shared" ca="1" si="150"/>
        <v>46.192484076433118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IFERROR(__xludf.DUMMYFUNCTION("IMPORTRANGE(""https://docs.google.com/spreadsheets/d/1MeEWN-I1oV_STSDYn1IFDPWt_1FKiwhDph83XaGc0o0/edit?usp=sharing"",""งบพรบ!EP66"")"),0)</f>
        <v>0</v>
      </c>
      <c r="M336" s="90">
        <f ca="1">IFERROR(__xludf.DUMMYFUNCTION("IMPORTRANGE(""https://docs.google.com/spreadsheets/d/1MeEWN-I1oV_STSDYn1IFDPWt_1FKiwhDph83XaGc0o0/edit?usp=sharing"",""งบพรบ!ES66"")"),0)</f>
        <v>0</v>
      </c>
      <c r="N336" s="90">
        <f ca="1">IFERROR(__xludf.DUMMYFUNCTION("IMPORTRANGE(""https://docs.google.com/spreadsheets/d/1MeEWN-I1oV_STSDYn1IFDPWt_1FKiwhDph83XaGc0o0/edit?usp=sharing"",""งบพรบ!EU66"")"),0)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IFERROR(__xludf.DUMMYFUNCTION("IMPORTRANGE(""https://docs.google.com/spreadsheets/d/1QqKyyYR6Q21VydFLVH3TRQUabQu_ym0Zz7PgGX0-kHA/edit?usp=sharing"",""แผน!EG66"")"),400)</f>
        <v>400</v>
      </c>
      <c r="J338" s="264">
        <f ca="1">IFERROR(__xludf.DUMMYFUNCTION("IMPORTRANGE(""https://docs.google.com/spreadsheets/d/1kVcqe37tkHyjCSG3S0O1AXqVkqjo8mSIZil3BcpIysc/edit?usp=sharing"",""ศูนย์!D66"")"),66)</f>
        <v>66</v>
      </c>
      <c r="K338" s="495">
        <f ca="1">IF(I338&gt;0,J338*100/I338,0)</f>
        <v>16.5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IFERROR(__xludf.DUMMYFUNCTION("IMPORTRANGE(""https://docs.google.com/spreadsheets/d/1QqKyyYR6Q21VydFLVH3TRQUabQu_ym0Zz7PgGX0-kHA/edit?usp=sharing"",""แผน!EH66"")"),2)</f>
        <v>2</v>
      </c>
      <c r="J340" s="264">
        <f ca="1">IFERROR(__xludf.DUMMYFUNCTION("IMPORTRANGE(""https://docs.google.com/spreadsheets/d/1kVcqe37tkHyjCSG3S0O1AXqVkqjo8mSIZil3BcpIysc/edit?usp=sharing"",""ศูนย์!E66"")"),0)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IFERROR(__xludf.DUMMYFUNCTION("IMPORTRANGE(""https://docs.google.com/spreadsheets/d/1kVcqe37tkHyjCSG3S0O1AXqVkqjo8mSIZil3BcpIysc/edit?usp=sharing"",""ศูนย์!F66"")"),0)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IFERROR(__xludf.DUMMYFUNCTION("IMPORTRANGE(""https://docs.google.com/spreadsheets/d/1kVcqe37tkHyjCSG3S0O1AXqVkqjo8mSIZil3BcpIysc/edit?usp=sharing"",""ศูนย์!G66"")"),0)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IFERROR(__xludf.DUMMYFUNCTION("IMPORTRANGE(""https://docs.google.com/spreadsheets/d/1kVcqe37tkHyjCSG3S0O1AXqVkqjo8mSIZil3BcpIysc/edit?usp=sharing"",""ศูนย์!H66"")"),0)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824120</v>
      </c>
      <c r="M345" s="151">
        <f t="shared" ca="1" si="154"/>
        <v>518160</v>
      </c>
      <c r="N345" s="151">
        <f t="shared" ca="1" si="154"/>
        <v>334960</v>
      </c>
      <c r="O345" s="151">
        <f t="shared" ref="O345:O353" ca="1" si="155">IF(L345&gt;0,N345*100/L345,0)</f>
        <v>40.644566325292431</v>
      </c>
      <c r="P345" s="151">
        <f t="shared" ref="P345:P353" ca="1" si="156">IF(M345&gt;0,N345*100/M345,0)</f>
        <v>64.644125366682104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824120</v>
      </c>
      <c r="M347" s="90">
        <f t="shared" ca="1" si="157"/>
        <v>518160</v>
      </c>
      <c r="N347" s="90">
        <f t="shared" ca="1" si="157"/>
        <v>334960</v>
      </c>
      <c r="O347" s="90">
        <f t="shared" ca="1" si="155"/>
        <v>40.644566325292431</v>
      </c>
      <c r="P347" s="90">
        <f t="shared" ca="1" si="156"/>
        <v>64.644125366682104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611920</v>
      </c>
      <c r="M348" s="495">
        <f t="shared" ca="1" si="158"/>
        <v>305960</v>
      </c>
      <c r="N348" s="495">
        <f t="shared" ca="1" si="158"/>
        <v>122760</v>
      </c>
      <c r="O348" s="495">
        <f t="shared" ca="1" si="155"/>
        <v>20.061445940645836</v>
      </c>
      <c r="P348" s="495">
        <f t="shared" ca="1" si="156"/>
        <v>40.122891881291672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IFERROR(__xludf.DUMMYFUNCTION("IMPORTRANGE(""https://docs.google.com/spreadsheets/d/1MeEWN-I1oV_STSDYn1IFDPWt_1FKiwhDph83XaGc0o0/edit?usp=sharing"",""งบพรบ!EW66"")"),611920)</f>
        <v>611920</v>
      </c>
      <c r="M350" s="90">
        <f ca="1">IFERROR(__xludf.DUMMYFUNCTION("IMPORTRANGE(""https://docs.google.com/spreadsheets/d/1MeEWN-I1oV_STSDYn1IFDPWt_1FKiwhDph83XaGc0o0/edit?usp=sharing"",""งบพรบ!FB66"")"),305960)</f>
        <v>305960</v>
      </c>
      <c r="N350" s="90">
        <f ca="1">IFERROR(__xludf.DUMMYFUNCTION("IMPORTRANGE(""https://docs.google.com/spreadsheets/d/1MeEWN-I1oV_STSDYn1IFDPWt_1FKiwhDph83XaGc0o0/edit?usp=sharing"",""งบพรบ!FD66"")"),122760)</f>
        <v>122760</v>
      </c>
      <c r="O350" s="90">
        <f t="shared" ca="1" si="155"/>
        <v>20.061445940645836</v>
      </c>
      <c r="P350" s="90">
        <f t="shared" ca="1" si="156"/>
        <v>40.122891881291672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212200</v>
      </c>
      <c r="M351" s="495">
        <f t="shared" ca="1" si="159"/>
        <v>212200</v>
      </c>
      <c r="N351" s="495">
        <f t="shared" ca="1" si="159"/>
        <v>212200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IFERROR(__xludf.DUMMYFUNCTION("IMPORTRANGE(""https://docs.google.com/spreadsheets/d/1MeEWN-I1oV_STSDYn1IFDPWt_1FKiwhDph83XaGc0o0/edit?usp=sharing"",""งบพรบ!EZ66"")"),212200)</f>
        <v>212200</v>
      </c>
      <c r="M353" s="90">
        <f ca="1">IFERROR(__xludf.DUMMYFUNCTION("IMPORTRANGE(""https://docs.google.com/spreadsheets/d/1MeEWN-I1oV_STSDYn1IFDPWt_1FKiwhDph83XaGc0o0/edit?usp=sharing"",""งบพรบ!FC66"")"),212200)</f>
        <v>212200</v>
      </c>
      <c r="N353" s="90">
        <f ca="1">IFERROR(__xludf.DUMMYFUNCTION("IMPORTRANGE(""https://docs.google.com/spreadsheets/d/1MeEWN-I1oV_STSDYn1IFDPWt_1FKiwhDph83XaGc0o0/edit?usp=sharing"",""งบพรบ!FE66"")"),212200)</f>
        <v>212200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IFERROR(__xludf.DUMMYFUNCTION("IMPORTRANGE(""https://docs.google.com/spreadsheets/d/1QqKyyYR6Q21VydFLVH3TRQUabQu_ym0Zz7PgGX0-kHA/edit?usp=sharing"",""แผน!EP66"")"),110)</f>
        <v>110</v>
      </c>
      <c r="J355" s="462">
        <f ca="1">J362</f>
        <v>1</v>
      </c>
      <c r="K355" s="463">
        <f ca="1">IF(I355&gt;0,J355*100/I355,0)</f>
        <v>0.90909090909090906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IFERROR(__xludf.DUMMYFUNCTION("IMPORTRANGE(""https://docs.google.com/spreadsheets/d/1XWAQStnk-4SwqDmLtmXYiTMKHgktTP8We1SCoS47DrQ/edit?usp=sharing"",""จัดที่ดิน!W66"")"),46)</f>
        <v>46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IFERROR(__xludf.DUMMYFUNCTION("IMPORTRANGE(""https://docs.google.com/spreadsheets/d/1QqKyyYR6Q21VydFLVH3TRQUabQu_ym0Zz7PgGX0-kHA/edit?usp=sharing"",""แผน!EO66"")"),900)</f>
        <v>900</v>
      </c>
      <c r="J359" s="264">
        <f ca="1">IFERROR(__xludf.DUMMYFUNCTION("IMPORTRANGE(""https://docs.google.com/spreadsheets/d/1XWAQStnk-4SwqDmLtmXYiTMKHgktTP8We1SCoS47DrQ/edit?usp=sharing"",""จัดที่ดิน!X66"")"),479.54)</f>
        <v>479.54</v>
      </c>
      <c r="K359" s="495">
        <f t="shared" ca="1" si="160"/>
        <v>53.282222222222224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IFERROR(__xludf.DUMMYFUNCTION("IMPORTRANGE(""https://docs.google.com/spreadsheets/d/1QqKyyYR6Q21VydFLVH3TRQUabQu_ym0Zz7PgGX0-kHA/edit?usp=sharing"",""แผน!EP66"")"),110)</f>
        <v>110</v>
      </c>
      <c r="J360" s="264">
        <f ca="1">IFERROR(__xludf.DUMMYFUNCTION("IMPORTRANGE(""https://docs.google.com/spreadsheets/d/1XWAQStnk-4SwqDmLtmXYiTMKHgktTP8We1SCoS47DrQ/edit?usp=sharing"",""จัดที่ดิน!Y66"")"),1)</f>
        <v>1</v>
      </c>
      <c r="K360" s="495">
        <f t="shared" ca="1" si="160"/>
        <v>0.90909090909090906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IFERROR(__xludf.DUMMYFUNCTION("IMPORTRANGE(""https://docs.google.com/spreadsheets/d/1XWAQStnk-4SwqDmLtmXYiTMKHgktTP8We1SCoS47DrQ/edit?usp=sharing"",""จัดที่ดิน!Z66"")"),38.94)</f>
        <v>38.94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IFERROR(__xludf.DUMMYFUNCTION("IMPORTRANGE(""https://docs.google.com/spreadsheets/d/1QqKyyYR6Q21VydFLVH3TRQUabQu_ym0Zz7PgGX0-kHA/edit?usp=sharing"",""แผน!EP66"")"),110)</f>
        <v>110</v>
      </c>
      <c r="J362" s="264">
        <f ca="1">IFERROR(__xludf.DUMMYFUNCTION("IMPORTRANGE(""https://docs.google.com/spreadsheets/d/1XWAQStnk-4SwqDmLtmXYiTMKHgktTP8We1SCoS47DrQ/edit?usp=sharing"",""จัดที่ดิน!AA66"")"),1)</f>
        <v>1</v>
      </c>
      <c r="K362" s="495">
        <f t="shared" ca="1" si="160"/>
        <v>0.90909090909090906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IFERROR(__xludf.DUMMYFUNCTION("IMPORTRANGE(""https://docs.google.com/spreadsheets/d/1XWAQStnk-4SwqDmLtmXYiTMKHgktTP8We1SCoS47DrQ/edit?usp=sharing"",""จัดที่ดิน!AB66"")"),48.5)</f>
        <v>48.5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160</v>
      </c>
      <c r="J364" s="476">
        <f t="shared" ca="1" si="161"/>
        <v>1</v>
      </c>
      <c r="K364" s="477">
        <f t="shared" ca="1" si="160"/>
        <v>0.625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IFERROR(__xludf.DUMMYFUNCTION("IMPORTRANGE(""https://docs.google.com/spreadsheets/d/1QqKyyYR6Q21VydFLVH3TRQUabQu_ym0Zz7PgGX0-kHA/edit?usp=sharing"",""แผน!EJ66"")"),10)</f>
        <v>10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IFERROR(__xludf.DUMMYFUNCTION("IMPORTRANGE(""https://docs.google.com/spreadsheets/d/1XWAQStnk-4SwqDmLtmXYiTMKHgktTP8We1SCoS47DrQ/edit?usp=sharing"",""จัดที่ดิน!E66"")"),16)</f>
        <v>16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IFERROR(__xludf.DUMMYFUNCTION("IMPORTRANGE(""https://docs.google.com/spreadsheets/d/1QqKyyYR6Q21VydFLVH3TRQUabQu_ym0Zz7PgGX0-kHA/edit?usp=sharing"",""แผน!EI66"")"),100)</f>
        <v>100</v>
      </c>
      <c r="J369" s="264">
        <f ca="1">IFERROR(__xludf.DUMMYFUNCTION("IMPORTRANGE(""https://docs.google.com/spreadsheets/d/1XWAQStnk-4SwqDmLtmXYiTMKHgktTP8We1SCoS47DrQ/edit?usp=sharing"",""จัดที่ดิน!F66"")"),106.19)</f>
        <v>106.19</v>
      </c>
      <c r="K369" s="495">
        <f t="shared" ca="1" si="162"/>
        <v>106.19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IFERROR(__xludf.DUMMYFUNCTION("IMPORTRANGE(""https://docs.google.com/spreadsheets/d/1QqKyyYR6Q21VydFLVH3TRQUabQu_ym0Zz7PgGX0-kHA/edit?usp=sharing"",""แผน!EJ66"")"),10)</f>
        <v>10</v>
      </c>
      <c r="J370" s="264">
        <f ca="1">IFERROR(__xludf.DUMMYFUNCTION("IMPORTRANGE(""https://docs.google.com/spreadsheets/d/1XWAQStnk-4SwqDmLtmXYiTMKHgktTP8We1SCoS47DrQ/edit?usp=sharing"",""จัดที่ดิน!G66"")"),1)</f>
        <v>1</v>
      </c>
      <c r="K370" s="495">
        <f t="shared" ca="1" si="162"/>
        <v>10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IFERROR(__xludf.DUMMYFUNCTION("IMPORTRANGE(""https://docs.google.com/spreadsheets/d/1XWAQStnk-4SwqDmLtmXYiTMKHgktTP8We1SCoS47DrQ/edit?usp=sharing"",""จัดที่ดิน!H66"")"),38.94)</f>
        <v>38.94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IFERROR(__xludf.DUMMYFUNCTION("IMPORTRANGE(""https://docs.google.com/spreadsheets/d/1QqKyyYR6Q21VydFLVH3TRQUabQu_ym0Zz7PgGX0-kHA/edit?usp=sharing"",""แผน!EJ66"")"),10)</f>
        <v>10</v>
      </c>
      <c r="J372" s="264">
        <f ca="1">IFERROR(__xludf.DUMMYFUNCTION("IMPORTRANGE(""https://docs.google.com/spreadsheets/d/1XWAQStnk-4SwqDmLtmXYiTMKHgktTP8We1SCoS47DrQ/edit?usp=sharing"",""จัดที่ดิน!I66"")"),0)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IFERROR(__xludf.DUMMYFUNCTION("IMPORTRANGE(""https://docs.google.com/spreadsheets/d/1XWAQStnk-4SwqDmLtmXYiTMKHgktTP8We1SCoS47DrQ/edit?usp=sharing"",""จัดที่ดิน!J66"")"),0)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IFERROR(__xludf.DUMMYFUNCTION("IMPORTRANGE(""https://docs.google.com/spreadsheets/d/1QqKyyYR6Q21VydFLVH3TRQUabQu_ym0Zz7PgGX0-kHA/edit?usp=sharing"",""แผน!EU66"")"),150)</f>
        <v>150</v>
      </c>
      <c r="J374" s="488">
        <f ca="1">J381</f>
        <v>1</v>
      </c>
      <c r="K374" s="489">
        <f t="shared" ca="1" si="162"/>
        <v>0.66666666666666663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IFERROR(__xludf.DUMMYFUNCTION("IMPORTRANGE(""https://docs.google.com/spreadsheets/d/1XWAQStnk-4SwqDmLtmXYiTMKHgktTP8We1SCoS47DrQ/edit?usp=sharing"",""จัดที่ดิน!AH66"")"),31)</f>
        <v>31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IFERROR(__xludf.DUMMYFUNCTION("IMPORTRANGE(""https://docs.google.com/spreadsheets/d/1QqKyyYR6Q21VydFLVH3TRQUabQu_ym0Zz7PgGX0-kHA/edit?usp=sharing"",""แผน!ET66"")"),800)</f>
        <v>800</v>
      </c>
      <c r="J378" s="264">
        <f ca="1">IFERROR(__xludf.DUMMYFUNCTION("IMPORTRANGE(""https://docs.google.com/spreadsheets/d/1XWAQStnk-4SwqDmLtmXYiTMKHgktTP8We1SCoS47DrQ/edit?usp=sharing"",""จัดที่ดิน!AI66"")"),378.2)</f>
        <v>378.2</v>
      </c>
      <c r="K378" s="495">
        <f t="shared" ca="1" si="163"/>
        <v>47.274999999999999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IFERROR(__xludf.DUMMYFUNCTION("IMPORTRANGE(""https://docs.google.com/spreadsheets/d/1QqKyyYR6Q21VydFLVH3TRQUabQu_ym0Zz7PgGX0-kHA/edit?usp=sharing"",""แผน!EU66"")"),150)</f>
        <v>150</v>
      </c>
      <c r="J379" s="264">
        <f ca="1">IFERROR(__xludf.DUMMYFUNCTION("IMPORTRANGE(""https://docs.google.com/spreadsheets/d/1XWAQStnk-4SwqDmLtmXYiTMKHgktTP8We1SCoS47DrQ/edit?usp=sharing"",""จัดที่ดิน!AJ66"")"),32)</f>
        <v>32</v>
      </c>
      <c r="K379" s="495">
        <f t="shared" ca="1" si="163"/>
        <v>21.333333333333332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IFERROR(__xludf.DUMMYFUNCTION("IMPORTRANGE(""https://docs.google.com/spreadsheets/d/1XWAQStnk-4SwqDmLtmXYiTMKHgktTP8We1SCoS47DrQ/edit?usp=sharing"",""จัดที่ดิน!AK66"")"),399.19)</f>
        <v>399.19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IFERROR(__xludf.DUMMYFUNCTION("IMPORTRANGE(""https://docs.google.com/spreadsheets/d/1QqKyyYR6Q21VydFLVH3TRQUabQu_ym0Zz7PgGX0-kHA/edit?usp=sharing"",""แผน!EU66"")"),150)</f>
        <v>150</v>
      </c>
      <c r="J381" s="264">
        <f ca="1">IFERROR(__xludf.DUMMYFUNCTION("IMPORTRANGE(""https://docs.google.com/spreadsheets/d/1XWAQStnk-4SwqDmLtmXYiTMKHgktTP8We1SCoS47DrQ/edit?usp=sharing"",""จัดที่ดิน!AL66"")"),1)</f>
        <v>1</v>
      </c>
      <c r="K381" s="495">
        <f t="shared" ca="1" si="163"/>
        <v>0.66666666666666663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IFERROR(__xludf.DUMMYFUNCTION("IMPORTRANGE(""https://docs.google.com/spreadsheets/d/1XWAQStnk-4SwqDmLtmXYiTMKHgktTP8We1SCoS47DrQ/edit?usp=sharing"",""จัดที่ดิน!AM66"")"),48.5)</f>
        <v>48.5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IFERROR(__xludf.DUMMYFUNCTION("IMPORTRANGE(""https://docs.google.com/spreadsheets/d/1QqKyyYR6Q21VydFLVH3TRQUabQu_ym0Zz7PgGX0-kHA/edit?usp=sharing"",""แผน!EW66"")"),20)</f>
        <v>20</v>
      </c>
      <c r="J385" s="498">
        <f ca="1">IFERROR(__xludf.DUMMYFUNCTION("IMPORTRANGE(""https://docs.google.com/spreadsheets/d/1XWAQStnk-4SwqDmLtmXYiTMKHgktTP8We1SCoS47DrQ/edit?usp=sharing"",""จัดที่ดิน!AP66"")"),0)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IFERROR(__xludf.DUMMYFUNCTION("IMPORTRANGE(""https://docs.google.com/spreadsheets/d/1MeEWN-I1oV_STSDYn1IFDPWt_1FKiwhDph83XaGc0o0/edit?usp=sharing"",""งบพรบ!FG66"")"),0)</f>
        <v>0</v>
      </c>
      <c r="M394" s="90">
        <f ca="1">IFERROR(__xludf.DUMMYFUNCTION("IMPORTRANGE(""https://docs.google.com/spreadsheets/d/1MeEWN-I1oV_STSDYn1IFDPWt_1FKiwhDph83XaGc0o0/edit?usp=sharing"",""งบพรบ!FL66"")"),0)</f>
        <v>0</v>
      </c>
      <c r="N394" s="90">
        <f ca="1">IFERROR(__xludf.DUMMYFUNCTION("IMPORTRANGE(""https://docs.google.com/spreadsheets/d/1MeEWN-I1oV_STSDYn1IFDPWt_1FKiwhDph83XaGc0o0/edit?usp=sharing"",""งบพรบ!FN66"")"),0)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IFERROR(__xludf.DUMMYFUNCTION("IMPORTRANGE(""https://docs.google.com/spreadsheets/d/1MeEWN-I1oV_STSDYn1IFDPWt_1FKiwhDph83XaGc0o0/edit?usp=sharing"",""งบพรบ!FJ66"")"),0)</f>
        <v>0</v>
      </c>
      <c r="M397" s="90">
        <f ca="1">IFERROR(__xludf.DUMMYFUNCTION("IMPORTRANGE(""https://docs.google.com/spreadsheets/d/1MeEWN-I1oV_STSDYn1IFDPWt_1FKiwhDph83XaGc0o0/edit?usp=sharing"",""งบพรบ!FM66"")"),0)</f>
        <v>0</v>
      </c>
      <c r="N397" s="90">
        <f ca="1">IFERROR(__xludf.DUMMYFUNCTION("IMPORTRANGE(""https://docs.google.com/spreadsheets/d/1MeEWN-I1oV_STSDYn1IFDPWt_1FKiwhDph83XaGc0o0/edit?usp=sharing"",""งบพรบ!FO66"")"),0)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IFERROR(__xludf.DUMMYFUNCTION("IMPORTRANGE(""https://docs.google.com/spreadsheets/d/1MeEWN-I1oV_STSDYn1IFDPWt_1FKiwhDph83XaGc0o0/edit?usp=sharing"",""งบพรบ!FQ66"")"),0)</f>
        <v>0</v>
      </c>
      <c r="M407" s="90">
        <f ca="1">IFERROR(__xludf.DUMMYFUNCTION("IMPORTRANGE(""https://docs.google.com/spreadsheets/d/1MeEWN-I1oV_STSDYn1IFDPWt_1FKiwhDph83XaGc0o0/edit?usp=sharing"",""งบพรบ!FV66"")"),0)</f>
        <v>0</v>
      </c>
      <c r="N407" s="90">
        <f ca="1">IFERROR(__xludf.DUMMYFUNCTION("IMPORTRANGE(""https://docs.google.com/spreadsheets/d/1MeEWN-I1oV_STSDYn1IFDPWt_1FKiwhDph83XaGc0o0/edit?usp=sharing"",""งบพรบ!FX66"")"),0)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IFERROR(__xludf.DUMMYFUNCTION("IMPORTRANGE(""https://docs.google.com/spreadsheets/d/1MeEWN-I1oV_STSDYn1IFDPWt_1FKiwhDph83XaGc0o0/edit?usp=sharing"",""งบพรบ!FT66"")"),0)</f>
        <v>0</v>
      </c>
      <c r="M410" s="90">
        <f ca="1">IFERROR(__xludf.DUMMYFUNCTION("IMPORTRANGE(""https://docs.google.com/spreadsheets/d/1MeEWN-I1oV_STSDYn1IFDPWt_1FKiwhDph83XaGc0o0/edit?usp=sharing"",""งบพรบ!FW66"")"),0)</f>
        <v>0</v>
      </c>
      <c r="N410" s="90">
        <f ca="1">IFERROR(__xludf.DUMMYFUNCTION("IMPORTRANGE(""https://docs.google.com/spreadsheets/d/1MeEWN-I1oV_STSDYn1IFDPWt_1FKiwhDph83XaGc0o0/edit?usp=sharing"",""งบพรบ!FY66"")"),0)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830653</v>
      </c>
      <c r="M414" s="546">
        <f t="shared" si="180"/>
        <v>0</v>
      </c>
      <c r="N414" s="546">
        <f t="shared" si="180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15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66760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66760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66760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IFERROR(__xludf.DUMMYFUNCTION("IMPORTRANGE(""https://docs.google.com/spreadsheets/d/1QqKyyYR6Q21VydFLVH3TRQUabQu_ym0Zz7PgGX0-kHA/edit?usp=sharing"",""แผน!EY66"")"),66760)</f>
        <v>66760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IFERROR(__xludf.DUMMYFUNCTION("IMPORTRANGE(""https://docs.google.com/spreadsheets/d/1QqKyyYR6Q21VydFLVH3TRQUabQu_ym0Zz7PgGX0-kHA/edit?usp=sharing"",""แผน!FB66"")"),0)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15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IFERROR(__xludf.DUMMYFUNCTION("IMPORTRANGE(""https://docs.google.com/spreadsheets/d/1QqKyyYR6Q21VydFLVH3TRQUabQu_ym0Zz7PgGX0-kHA/edit?usp=sharing"",""แผน!FC66"")"),15)</f>
        <v>15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IFERROR(__xludf.DUMMYFUNCTION("IMPORTRANGE(""https://docs.google.com/spreadsheets/d/1QqKyyYR6Q21VydFLVH3TRQUabQu_ym0Zz7PgGX0-kHA/edit?usp=sharing"",""แผน!FD66"")"),0)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IFERROR(__xludf.DUMMYFUNCTION("IMPORTRANGE(""https://docs.google.com/spreadsheets/d/1QqKyyYR6Q21VydFLVH3TRQUabQu_ym0Zz7PgGX0-kHA/edit?usp=sharing"",""แผน!FE66"")"),0)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IFERROR(__xludf.DUMMYFUNCTION("IMPORTRANGE(""https://docs.google.com/spreadsheets/d/1QqKyyYR6Q21VydFLVH3TRQUabQu_ym0Zz7PgGX0-kHA/edit?usp=sharing"",""แผน!FF66"")"),15)</f>
        <v>15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IFERROR(__xludf.DUMMYFUNCTION("IMPORTRANGE(""https://docs.google.com/spreadsheets/d/1QqKyyYR6Q21VydFLVH3TRQUabQu_ym0Zz7PgGX0-kHA/edit?usp=sharing"",""แผน!FG66"")"),1)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IFERROR(__xludf.DUMMYFUNCTION("IMPORTRANGE(""https://docs.google.com/spreadsheets/d/1QqKyyYR6Q21VydFLVH3TRQUabQu_ym0Zz7PgGX0-kHA/edit?usp=sharing"",""แผน!FH66"")"),0)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30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100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180080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180080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180080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IFERROR(__xludf.DUMMYFUNCTION("IMPORTRANGE(""https://docs.google.com/spreadsheets/d/1QqKyyYR6Q21VydFLVH3TRQUabQu_ym0Zz7PgGX0-kHA/edit?usp=sharing"",""แผน!FJ66"")"),180080)</f>
        <v>180080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IFERROR(__xludf.DUMMYFUNCTION("IMPORTRANGE(""https://docs.google.com/spreadsheets/d/1QqKyyYR6Q21VydFLVH3TRQUabQu_ym0Zz7PgGX0-kHA/edit?usp=sharing"",""แผน!FM66"")"),0)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IFERROR(__xludf.DUMMYFUNCTION("IMPORTRANGE(""https://docs.google.com/spreadsheets/d/1QqKyyYR6Q21VydFLVH3TRQUabQu_ym0Zz7PgGX0-kHA/edit?usp=sharing"",""แผน!FN66"")"),30)</f>
        <v>30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IFERROR(__xludf.DUMMYFUNCTION("IMPORTRANGE(""https://docs.google.com/spreadsheets/d/1QqKyyYR6Q21VydFLVH3TRQUabQu_ym0Zz7PgGX0-kHA/edit?usp=sharing"",""แผน!FO66"")"),100)</f>
        <v>100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IFERROR(__xludf.DUMMYFUNCTION("IMPORTRANGE(""https://docs.google.com/spreadsheets/d/1QqKyyYR6Q21VydFLVH3TRQUabQu_ym0Zz7PgGX0-kHA/edit?usp=sharing"",""แผน!FO66"")"),100)</f>
        <v>100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IFERROR(__xludf.DUMMYFUNCTION("IMPORTRANGE(""https://docs.google.com/spreadsheets/d/1QqKyyYR6Q21VydFLVH3TRQUabQu_ym0Zz7PgGX0-kHA/edit?usp=sharing"",""แผน!FN66"")"),30)</f>
        <v>30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IFERROR(__xludf.DUMMYFUNCTION("IMPORTRANGE(""https://docs.google.com/spreadsheets/d/1QqKyyYR6Q21VydFLVH3TRQUabQu_ym0Zz7PgGX0-kHA/edit?usp=sharing"",""แผน!FX66"")"),21)</f>
        <v>21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IFERROR(__xludf.DUMMYFUNCTION("IMPORTRANGE(""https://docs.google.com/spreadsheets/d/1QqKyyYR6Q21VydFLVH3TRQUabQu_ym0Zz7PgGX0-kHA/edit?usp=sharing"",""แผน!FW66"")"),200)</f>
        <v>200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174403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174403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174403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IFERROR(__xludf.DUMMYFUNCTION("IMPORTRANGE(""https://docs.google.com/spreadsheets/d/1QqKyyYR6Q21VydFLVH3TRQUabQu_ym0Zz7PgGX0-kHA/edit?usp=sharing"",""แผน!FS66"")"),174403)</f>
        <v>174403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IFERROR(__xludf.DUMMYFUNCTION("IMPORTRANGE(""https://docs.google.com/spreadsheets/d/1QqKyyYR6Q21VydFLVH3TRQUabQu_ym0Zz7PgGX0-kHA/edit?usp=sharing"",""แผน!FV66"")"),0)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IFERROR(__xludf.DUMMYFUNCTION("IMPORTRANGE(""https://docs.google.com/spreadsheets/d/1QqKyyYR6Q21VydFLVH3TRQUabQu_ym0Zz7PgGX0-kHA/edit?usp=sharing"",""แผน!FY66"")"),180)</f>
        <v>180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IFERROR(__xludf.DUMMYFUNCTION("IMPORTRANGE(""https://docs.google.com/spreadsheets/d/1QqKyyYR6Q21VydFLVH3TRQUabQu_ym0Zz7PgGX0-kHA/edit?usp=sharing"",""แผน!FZ66"")"),18)</f>
        <v>18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IFERROR(__xludf.DUMMYFUNCTION("IMPORTRANGE(""https://docs.google.com/spreadsheets/d/1QqKyyYR6Q21VydFLVH3TRQUabQu_ym0Zz7PgGX0-kHA/edit?usp=sharing"",""แผน!GA66"")"),20)</f>
        <v>20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IFERROR(__xludf.DUMMYFUNCTION("IMPORTRANGE(""https://docs.google.com/spreadsheets/d/1QqKyyYR6Q21VydFLVH3TRQUabQu_ym0Zz7PgGX0-kHA/edit?usp=sharing"",""แผน!GB66"")"),2)</f>
        <v>2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IFERROR(__xludf.DUMMYFUNCTION("IMPORTRANGE(""https://docs.google.com/spreadsheets/d/1QqKyyYR6Q21VydFLVH3TRQUabQu_ym0Zz7PgGX0-kHA/edit?usp=sharing"",""แผน!GC66"")"),1)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IFERROR(__xludf.DUMMYFUNCTION("IMPORTRANGE(""https://docs.google.com/spreadsheets/d/1QqKyyYR6Q21VydFLVH3TRQUabQu_ym0Zz7PgGX0-kHA/edit?usp=sharing"",""แผน!FY66"")"),180)</f>
        <v>180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IFERROR(__xludf.DUMMYFUNCTION("IMPORTRANGE(""https://docs.google.com/spreadsheets/d/1QqKyyYR6Q21VydFLVH3TRQUabQu_ym0Zz7PgGX0-kHA/edit?usp=sharing"",""แผน!GA66"")"),20)</f>
        <v>20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IFERROR(__xludf.DUMMYFUNCTION("IMPORTRANGE(""https://docs.google.com/spreadsheets/d/1QqKyyYR6Q21VydFLVH3TRQUabQu_ym0Zz7PgGX0-kHA/edit?usp=sharing"",""แผน!GQ66"")"),0)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IFERROR(__xludf.DUMMYFUNCTION("IMPORTRANGE(""https://docs.google.com/spreadsheets/d/1QqKyyYR6Q21VydFLVH3TRQUabQu_ym0Zz7PgGX0-kHA/edit?usp=sharing"",""แผน!GT66"")"),0)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IFERROR(__xludf.DUMMYFUNCTION("IMPORTRANGE(""https://docs.google.com/spreadsheets/d/1QqKyyYR6Q21VydFLVH3TRQUabQu_ym0Zz7PgGX0-kHA/edit?usp=sharing"",""แผน!GU66"")"),0)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IFERROR(__xludf.DUMMYFUNCTION("IMPORTRANGE(""https://docs.google.com/spreadsheets/d/1QqKyyYR6Q21VydFLVH3TRQUabQu_ym0Zz7PgGX0-kHA/edit?usp=sharing"",""แผน!GV66"")"),0)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IFERROR(__xludf.DUMMYFUNCTION("IMPORTRANGE(""https://docs.google.com/spreadsheets/d/1QqKyyYR6Q21VydFLVH3TRQUabQu_ym0Zz7PgGX0-kHA/edit?usp=sharing"",""แผน!GW66"")"),0)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IFERROR(__xludf.DUMMYFUNCTION("IMPORTRANGE(""https://docs.google.com/spreadsheets/d/1QqKyyYR6Q21VydFLVH3TRQUabQu_ym0Zz7PgGX0-kHA/edit?usp=sharing"",""แผน!GX66"")"),0)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IFERROR(__xludf.DUMMYFUNCTION("IMPORTRANGE(""https://docs.google.com/spreadsheets/d/1QqKyyYR6Q21VydFLVH3TRQUabQu_ym0Zz7PgGX0-kHA/edit?usp=sharing"",""แผน!GY66"")"),0)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IFERROR(__xludf.DUMMYFUNCTION("IMPORTRANGE(""https://docs.google.com/spreadsheets/d/1QqKyyYR6Q21VydFLVH3TRQUabQu_ym0Zz7PgGX0-kHA/edit?usp=sharing"",""แผน!GZ66"")"),0)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236000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236000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236000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IFERROR(__xludf.DUMMYFUNCTION("IMPORTRANGE(""https://docs.google.com/spreadsheets/d/1QqKyyYR6Q21VydFLVH3TRQUabQu_ym0Zz7PgGX0-kHA/edit?usp=sharing"",""แผน!HB66"")"),236000)</f>
        <v>236000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IFERROR(__xludf.DUMMYFUNCTION("IMPORTRANGE(""https://docs.google.com/spreadsheets/d/1QqKyyYR6Q21VydFLVH3TRQUabQu_ym0Zz7PgGX0-kHA/edit?usp=sharing"",""แผน!HF66"")"),0)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IFERROR(__xludf.DUMMYFUNCTION("IMPORTRANGE(""https://docs.google.com/spreadsheets/d/1QqKyyYR6Q21VydFLVH3TRQUabQu_ym0Zz7PgGX0-kHA/edit?usp=sharing"",""แผน!HH66"")"),0)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IFERROR(__xludf.DUMMYFUNCTION("IMPORTRANGE(""https://docs.google.com/spreadsheets/d/1QqKyyYR6Q21VydFLVH3TRQUabQu_ym0Zz7PgGX0-kHA/edit?usp=sharing"",""แผน!HG66"")"),0)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IFERROR(__xludf.DUMMYFUNCTION("IMPORTRANGE(""https://docs.google.com/spreadsheets/d/1QqKyyYR6Q21VydFLVH3TRQUabQu_ym0Zz7PgGX0-kHA/edit?usp=sharing"",""แผน!HH66"")"),0)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IFERROR(__xludf.DUMMYFUNCTION("IMPORTRANGE(""https://docs.google.com/spreadsheets/d/1QqKyyYR6Q21VydFLVH3TRQUabQu_ym0Zz7PgGX0-kHA/edit?usp=sharing"",""แผน!HG66"")"),0)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IFERROR(__xludf.DUMMYFUNCTION("IMPORTRANGE(""https://docs.google.com/spreadsheets/d/1QqKyyYR6Q21VydFLVH3TRQUabQu_ym0Zz7PgGX0-kHA/edit?usp=sharing"",""แผน!HH66"")"),0)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IFERROR(__xludf.DUMMYFUNCTION("IMPORTRANGE(""https://docs.google.com/spreadsheets/d/1QqKyyYR6Q21VydFLVH3TRQUabQu_ym0Zz7PgGX0-kHA/edit?usp=sharing"",""แผน!HG66"")"),0)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1149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IFERROR(__xludf.DUMMYFUNCTION("IMPORTRANGE(""https://docs.google.com/spreadsheets/d/1QqKyyYR6Q21VydFLVH3TRQUabQu_ym0Zz7PgGX0-kHA/edit?usp=sharing"",""แผน!HJ66"")"),1149)</f>
        <v>1149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IFERROR(__xludf.DUMMYFUNCTION("IMPORTRANGE(""https://docs.google.com/spreadsheets/d/1QqKyyYR6Q21VydFLVH3TRQUabQu_ym0Zz7PgGX0-kHA/edit?usp=sharing"",""แผน!HI66"")"),80)</f>
        <v>80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IFERROR(__xludf.DUMMYFUNCTION("IMPORTRANGE(""https://docs.google.com/spreadsheets/d/1QqKyyYR6Q21VydFLVH3TRQUabQu_ym0Zz7PgGX0-kHA/edit?usp=sharing"",""แผน!HL66"")"),0)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IFERROR(__xludf.DUMMYFUNCTION("IMPORTRANGE(""https://docs.google.com/spreadsheets/d/1QqKyyYR6Q21VydFLVH3TRQUabQu_ym0Zz7PgGX0-kHA/edit?usp=sharing"",""แผน!HK66"")"),0)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19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173410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173410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173410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IFERROR(__xludf.DUMMYFUNCTION("IMPORTRANGE(""https://docs.google.com/spreadsheets/d/1QqKyyYR6Q21VydFLVH3TRQUabQu_ym0Zz7PgGX0-kHA/edit?usp=sharing"",""แผน!HN66"")"),173410)</f>
        <v>173410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IFERROR(__xludf.DUMMYFUNCTION("IMPORTRANGE(""https://docs.google.com/spreadsheets/d/1QqKyyYR6Q21VydFLVH3TRQUabQu_ym0Zz7PgGX0-kHA/edit?usp=sharing"",""แผน!HQ66"")"),0)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IFERROR(__xludf.DUMMYFUNCTION("IMPORTRANGE(""https://docs.google.com/spreadsheets/d/1QqKyyYR6Q21VydFLVH3TRQUabQu_ym0Zz7PgGX0-kHA/edit?usp=sharing"",""แผน!HR66"")"),1)</f>
        <v>1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IFERROR(__xludf.DUMMYFUNCTION("IMPORTRANGE(""https://docs.google.com/spreadsheets/d/1QqKyyYR6Q21VydFLVH3TRQUabQu_ym0Zz7PgGX0-kHA/edit?usp=sharing"",""แผน!HR66"")"),1)</f>
        <v>1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IFERROR(__xludf.DUMMYFUNCTION("IMPORTRANGE(""https://docs.google.com/spreadsheets/d/1XWAQStnk-4SwqDmLtmXYiTMKHgktTP8We1SCoS47DrQ/edit?usp=sharing"",""จัดที่ดิน!AS66"")"),0)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IFERROR(__xludf.DUMMYFUNCTION("IMPORTRANGE(""https://docs.google.com/spreadsheets/d/1XWAQStnk-4SwqDmLtmXYiTMKHgktTP8We1SCoS47DrQ/edit?usp=sharing"",""จัดที่ดิน!AT66"")"),0)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IFERROR(__xludf.DUMMYFUNCTION("IMPORTRANGE(""https://docs.google.com/spreadsheets/d/1QqKyyYR6Q21VydFLVH3TRQUabQu_ym0Zz7PgGX0-kHA/edit?usp=sharing"",""แผน!HS66"")"),19)</f>
        <v>19</v>
      </c>
      <c r="J647" s="264">
        <f ca="1">IFERROR(__xludf.DUMMYFUNCTION("IMPORTRANGE(""https://docs.google.com/spreadsheets/d/1XWAQStnk-4SwqDmLtmXYiTMKHgktTP8We1SCoS47DrQ/edit?usp=sharing"",""จัดที่ดิน!AU66"")"),0)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IFERROR(__xludf.DUMMYFUNCTION("IMPORTRANGE(""https://docs.google.com/spreadsheets/d/1XWAQStnk-4SwqDmLtmXYiTMKHgktTP8We1SCoS47DrQ/edit?usp=sharing"",""จัดที่ดิน!AV66"")"),0)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IFERROR(__xludf.DUMMYFUNCTION("IMPORTRANGE(""https://docs.google.com/spreadsheets/d/1QqKyyYR6Q21VydFLVH3TRQUabQu_ym0Zz7PgGX0-kHA/edit?usp=sharing"",""แผน!HS66"")"),19)</f>
        <v>19</v>
      </c>
      <c r="J649" s="264">
        <f ca="1">IFERROR(__xludf.DUMMYFUNCTION("IMPORTRANGE(""https://docs.google.com/spreadsheets/d/1XWAQStnk-4SwqDmLtmXYiTMKHgktTP8We1SCoS47DrQ/edit?usp=sharing"",""จัดที่ดิน!AW66"")"),0)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IFERROR(__xludf.DUMMYFUNCTION("IMPORTRANGE(""https://docs.google.com/spreadsheets/d/1XWAQStnk-4SwqDmLtmXYiTMKHgktTP8We1SCoS47DrQ/edit?usp=sharing"",""จัดที่ดิน!AX66"")"),0)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IFERROR(__xludf.DUMMYFUNCTION("IMPORTRANGE(""https://docs.google.com/spreadsheets/d/1QqKyyYR6Q21VydFLVH3TRQUabQu_ym0Zz7PgGX0-kHA/edit?usp=sharing"",""แผน!HS66"")"),19)</f>
        <v>19</v>
      </c>
      <c r="J651" s="264">
        <f ca="1">IFERROR(__xludf.DUMMYFUNCTION("IMPORTRANGE(""https://docs.google.com/spreadsheets/d/1XWAQStnk-4SwqDmLtmXYiTMKHgktTP8We1SCoS47DrQ/edit?usp=sharing"",""จัดที่ดิน!AY66"")"),0)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IFERROR(__xludf.DUMMYFUNCTION("IMPORTRANGE(""https://docs.google.com/spreadsheets/d/1XWAQStnk-4SwqDmLtmXYiTMKHgktTP8We1SCoS47DrQ/edit?usp=sharing"",""จัดที่ดิน!AZ66"")"),0)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 hidden="1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 hidden="1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 hidden="1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 hidden="1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IFERROR(__xludf.DUMMYFUNCTION("IMPORTRANGE(""https://docs.google.com/spreadsheets/d/1QqKyyYR6Q21VydFLVH3TRQUabQu_ym0Zz7PgGX0-kHA/edit?usp=sharing"",""แผน!HV66"")"),0)</f>
        <v>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 hidden="1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 hidden="1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 hidden="1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 hidden="1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 hidden="1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 hidden="1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 hidden="1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IFERROR(__xludf.DUMMYFUNCTION("IMPORTRANGE(""https://docs.google.com/spreadsheets/d/1QqKyyYR6Q21VydFLVH3TRQUabQu_ym0Zz7PgGX0-kHA/edit?usp=sharing"",""แผน!IA66"")"),0)</f>
        <v>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 hidden="1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IFERROR(__xludf.DUMMYFUNCTION("IMPORTRANGE(""https://docs.google.com/spreadsheets/d/1QqKyyYR6Q21VydFLVH3TRQUabQu_ym0Zz7PgGX0-kHA/edit?usp=sharing"",""แผน!HZ66"")"),0)</f>
        <v>0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 hidden="1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IFERROR(__xludf.DUMMYFUNCTION("IMPORTRANGE(""https://docs.google.com/spreadsheets/d/1QqKyyYR6Q21VydFLVH3TRQUabQu_ym0Zz7PgGX0-kHA/edit?usp=sharing"",""แผน!HZ66"")"),0)</f>
        <v>0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 hidden="1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 hidden="1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 hidden="1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 hidden="1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 hidden="1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 hidden="1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 hidden="1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IFERROR(__xludf.DUMMYFUNCTION("IMPORTRANGE(""https://docs.google.com/spreadsheets/d/1QqKyyYR6Q21VydFLVH3TRQUabQu_ym0Zz7PgGX0-kHA/edit?usp=sharing"",""แผน!IB66"")"),0)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 hidden="1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 hidden="1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 hidden="1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 hidden="1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 hidden="1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 hidden="1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 hidden="1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 hidden="1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IFERROR(__xludf.DUMMYFUNCTION("IMPORTRANGE(""https://docs.google.com/spreadsheets/d/1QqKyyYR6Q21VydFLVH3TRQUabQu_ym0Zz7PgGX0-kHA/edit?usp=sharing"",""แผน!HW66"")"),0)</f>
        <v>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 hidden="1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 hidden="1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 hidden="1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 hidden="1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 hidden="1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 hidden="1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 hidden="1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IFERROR(__xludf.DUMMYFUNCTION("IMPORTRANGE(""https://docs.google.com/spreadsheets/d/1QqKyyYR6Q21VydFLVH3TRQUabQu_ym0Zz7PgGX0-kHA/edit?usp=sharing"",""แผน!IC66"")"),0)</f>
        <v>0</v>
      </c>
      <c r="J699" s="264">
        <f ca="1">IFERROR(__xludf.DUMMYFUNCTION("IMPORTRANGE(""https://docs.google.com/spreadsheets/d/1XWAQStnk-4SwqDmLtmXYiTMKHgktTP8We1SCoS47DrQ/edit?usp=sharing"",""จัดที่ดิน!BB66"")"),0)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 hidden="1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IFERROR(__xludf.DUMMYFUNCTION("IMPORTRANGE(""https://docs.google.com/spreadsheets/d/1QqKyyYR6Q21VydFLVH3TRQUabQu_ym0Zz7PgGX0-kHA/edit?usp=sharing"",""แผน!ID66"")"),0)</f>
        <v>0</v>
      </c>
      <c r="J700" s="264">
        <f ca="1">IFERROR(__xludf.DUMMYFUNCTION("IMPORTRANGE(""https://docs.google.com/spreadsheets/d/1XWAQStnk-4SwqDmLtmXYiTMKHgktTP8We1SCoS47DrQ/edit?usp=sharing"",""จัดที่ดิน!BD66"")"),0)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 hidden="1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IFERROR(__xludf.DUMMYFUNCTION("IMPORTRANGE(""https://docs.google.com/spreadsheets/d/1QqKyyYR6Q21VydFLVH3TRQUabQu_ym0Zz7PgGX0-kHA/edit?usp=sharing"",""แผน!IE66"")"),0)</f>
        <v>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 hidden="1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 hidden="1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 hidden="1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IFERROR(__xludf.DUMMYFUNCTION("IMPORTRANGE(""https://docs.google.com/spreadsheets/d/1QqKyyYR6Q21VydFLVH3TRQUabQu_ym0Zz7PgGX0-kHA/edit?usp=sharing"",""แผน!IF66"")"),0)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 hidden="1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 hidden="1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 hidden="1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IFERROR(__xludf.DUMMYFUNCTION("IMPORTRANGE(""https://docs.google.com/spreadsheets/d/1QqKyyYR6Q21VydFLVH3TRQUabQu_ym0Zz7PgGX0-kHA/edit?usp=sharing"",""แผน!IG66"")"),0)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 hidden="1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IFERROR(__xludf.DUMMYFUNCTION("IMPORTRANGE(""https://docs.google.com/spreadsheets/d/1QqKyyYR6Q21VydFLVH3TRQUabQu_ym0Zz7PgGX0-kHA/edit?usp=sharing"",""แผน!IH66"")"),0)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 hidden="1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 hidden="1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 hidden="1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 hidden="1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 hidden="1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 hidden="1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 hidden="1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 hidden="1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 hidden="1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 hidden="1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IFERROR(__xludf.DUMMYFUNCTION("IMPORTRANGE(""https://docs.google.com/spreadsheets/d/1XWAQStnk-4SwqDmLtmXYiTMKHgktTP8We1SCoS47DrQ/edit?usp=sharing"",""จัดที่ดิน!BF66"")"),0)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 hidden="1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IFERROR(__xludf.DUMMYFUNCTION("IMPORTRANGE(""https://docs.google.com/spreadsheets/d/1XWAQStnk-4SwqDmLtmXYiTMKHgktTP8We1SCoS47DrQ/edit?usp=sharing"",""จัดที่ดิน!BG66"")"),0)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 hidden="1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IFERROR(__xludf.DUMMYFUNCTION("IMPORTRANGE(""https://docs.google.com/spreadsheets/d/1QqKyyYR6Q21VydFLVH3TRQUabQu_ym0Zz7PgGX0-kHA/edit?usp=sharing"",""แผน!II66"")"),0)</f>
        <v>0</v>
      </c>
      <c r="J720" s="264">
        <f ca="1">IFERROR(__xludf.DUMMYFUNCTION("IMPORTRANGE(""https://docs.google.com/spreadsheets/d/1XWAQStnk-4SwqDmLtmXYiTMKHgktTP8We1SCoS47DrQ/edit?usp=sharing"",""จัดที่ดิน!BH66"")"),0)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 hidden="1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IFERROR(__xludf.DUMMYFUNCTION("IMPORTRANGE(""https://docs.google.com/spreadsheets/d/1QqKyyYR6Q21VydFLVH3TRQUabQu_ym0Zz7PgGX0-kHA/edit?usp=sharing"",""แผน!IJ66"")"),0)</f>
        <v>0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 hidden="1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IFERROR(__xludf.DUMMYFUNCTION("IMPORTRANGE(""https://docs.google.com/spreadsheets/d/1QqKyyYR6Q21VydFLVH3TRQUabQu_ym0Zz7PgGX0-kHA/edit?usp=sharing"",""แผน!IK66"")"),0)</f>
        <v>0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 hidden="1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IFERROR(__xludf.DUMMYFUNCTION("IMPORTRANGE(""https://docs.google.com/spreadsheets/d/1QqKyyYR6Q21VydFLVH3TRQUabQu_ym0Zz7PgGX0-kHA/edit?usp=sharing"",""แผน!IL66"")"),0)</f>
        <v>0</v>
      </c>
      <c r="J723" s="264">
        <f ca="1">IFERROR(__xludf.DUMMYFUNCTION("IMPORTRANGE(""https://docs.google.com/spreadsheets/d/1XWAQStnk-4SwqDmLtmXYiTMKHgktTP8We1SCoS47DrQ/edit?usp=sharing"",""จัดที่ดิน!BM66"")"),0)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 hidden="1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IFERROR(__xludf.DUMMYFUNCTION("IMPORTRANGE(""https://docs.google.com/spreadsheets/d/1XWAQStnk-4SwqDmLtmXYiTMKHgktTP8We1SCoS47DrQ/edit?usp=sharing"",""จัดที่ดิน!BN66"")"),0)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 hidden="1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IFERROR(__xludf.DUMMYFUNCTION("IMPORTRANGE(""https://docs.google.com/spreadsheets/d/1QqKyyYR6Q21VydFLVH3TRQUabQu_ym0Zz7PgGX0-kHA/edit?usp=sharing"",""แผน!IM66"")"),0)</f>
        <v>0</v>
      </c>
      <c r="J725" s="264">
        <f ca="1">IFERROR(__xludf.DUMMYFUNCTION("IMPORTRANGE(""https://docs.google.com/spreadsheets/d/1XWAQStnk-4SwqDmLtmXYiTMKHgktTP8We1SCoS47DrQ/edit?usp=sharing"",""จัดที่ดิน!BO66"")"),0)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 hidden="1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IFERROR(__xludf.DUMMYFUNCTION("IMPORTRANGE(""https://docs.google.com/spreadsheets/d/1QqKyyYR6Q21VydFLVH3TRQUabQu_ym0Zz7PgGX0-kHA/edit?usp=sharing"",""แผน!IN66"")"),0)</f>
        <v>0</v>
      </c>
      <c r="J726" s="264">
        <f ca="1">IFERROR(__xludf.DUMMYFUNCTION("IMPORTRANGE(""https://docs.google.com/spreadsheets/d/1XWAQStnk-4SwqDmLtmXYiTMKHgktTP8We1SCoS47DrQ/edit?usp=sharing"",""จัดที่ดิน!BR66"")"),0)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 hidden="1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IFERROR(__xludf.DUMMYFUNCTION("IMPORTRANGE(""https://docs.google.com/spreadsheets/d/1XWAQStnk-4SwqDmLtmXYiTMKHgktTP8We1SCoS47DrQ/edit?usp=sharing"",""จัดที่ดิน!BS66"")"),0)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 hidden="1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IFERROR(__xludf.DUMMYFUNCTION("IMPORTRANGE(""https://docs.google.com/spreadsheets/d/1QqKyyYR6Q21VydFLVH3TRQUabQu_ym0Zz7PgGX0-kHA/edit?usp=sharing"",""แผน!IO66"")"),0)</f>
        <v>0</v>
      </c>
      <c r="J728" s="264">
        <f ca="1">IFERROR(__xludf.DUMMYFUNCTION("IMPORTRANGE(""https://docs.google.com/spreadsheets/d/1XWAQStnk-4SwqDmLtmXYiTMKHgktTP8We1SCoS47DrQ/edit?usp=sharing"",""จัดที่ดิน!BT66"")"),0)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 hidden="1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IFERROR(__xludf.DUMMYFUNCTION("IMPORTRANGE(""https://docs.google.com/spreadsheets/d/1QqKyyYR6Q21VydFLVH3TRQUabQu_ym0Zz7PgGX0-kHA/edit?usp=sharing"",""แผน!IP66"")"),0)</f>
        <v>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 hidden="1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 hidden="1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 hidden="1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 hidden="1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 hidden="1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 hidden="1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IFERROR(__xludf.DUMMYFUNCTION("IMPORTRANGE(""https://docs.google.com/spreadsheets/d/1QqKyyYR6Q21VydFLVH3TRQUabQu_ym0Zz7PgGX0-kHA/edit?usp=sharing"",""แผน!JJ66"")"),0)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IFERROR(__xludf.DUMMYFUNCTION("IMPORTRANGE(""https://docs.google.com/spreadsheets/d/1QqKyyYR6Q21VydFLVH3TRQUabQu_ym0Zz7PgGX0-kHA/edit?usp=sharing"",""แผน!JN66"")"),0)</f>
        <v>0</v>
      </c>
      <c r="J800" s="180">
        <f ca="1">IFERROR(__xludf.DUMMYFUNCTION("IMPORTRANGE(""https://docs.google.com/spreadsheets/d/1MaWodYyGHDf7siQLGxnXhG4mBNTNIuy296niS2xXulU/edit?usp=sharing"",""RTK!H66"")"),0)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IFERROR(__xludf.DUMMYFUNCTION("IMPORTRANGE(""https://docs.google.com/spreadsheets/d/1MaWodYyGHDf7siQLGxnXhG4mBNTNIuy296niS2xXulU/edit?usp=sharing"",""RTK!I66"")"),0)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IFERROR(__xludf.DUMMYFUNCTION("IMPORTRANGE(""https://docs.google.com/spreadsheets/d/19vJNZY_5yjcGF2XGBMNZRCAIB0Kwfpjp8YEOfu-bneM/edit?usp=sharing"",""งานกองทุน!D66"")"),2692297.69)</f>
        <v>2692297.69</v>
      </c>
      <c r="J821" s="264">
        <f ca="1">IFERROR(__xludf.DUMMYFUNCTION("IMPORTRANGE(""https://docs.google.com/spreadsheets/d/19vJNZY_5yjcGF2XGBMNZRCAIB0Kwfpjp8YEOfu-bneM/edit?usp=sharing"",""งานกองทุน!F66"")"),21384.44)</f>
        <v>21384.44</v>
      </c>
      <c r="K821" s="495">
        <f t="shared" ref="K821:K828" ca="1" si="334">IF(I821&gt;0,J821*100/I821,0)</f>
        <v>0.79428215087165943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IFERROR(__xludf.DUMMYFUNCTION("IMPORTRANGE(""https://docs.google.com/spreadsheets/d/19vJNZY_5yjcGF2XGBMNZRCAIB0Kwfpjp8YEOfu-bneM/edit?usp=sharing"",""งานกองทุน!C66"")"),163)</f>
        <v>163</v>
      </c>
      <c r="J822" s="264">
        <f ca="1">IFERROR(__xludf.DUMMYFUNCTION("IMPORTRANGE(""https://docs.google.com/spreadsheets/d/19vJNZY_5yjcGF2XGBMNZRCAIB0Kwfpjp8YEOfu-bneM/edit?usp=sharing"",""งานกองทุน!E66"")"),3)</f>
        <v>3</v>
      </c>
      <c r="K822" s="495">
        <f t="shared" ca="1" si="334"/>
        <v>1.8404907975460123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264">
        <f ca="1">IFERROR(__xludf.DUMMYFUNCTION("IMPORTRANGE(""https://docs.google.com/spreadsheets/d/19vJNZY_5yjcGF2XGBMNZRCAIB0Kwfpjp8YEOfu-bneM/edit?usp=sharing"",""งานกองทุน!K66"")"),22819.52)</f>
        <v>22819.52</v>
      </c>
      <c r="K823" s="495">
        <f t="shared" ca="1" si="334"/>
        <v>1.9373280876992029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IFERROR(__xludf.DUMMYFUNCTION("IMPORTRANGE(""https://docs.google.com/spreadsheets/d/19vJNZY_5yjcGF2XGBMNZRCAIB0Kwfpjp8YEOfu-bneM/edit?usp=sharing"",""งานกองทุน!H66"")"),37)</f>
        <v>37</v>
      </c>
      <c r="J824" s="264">
        <f ca="1">IFERROR(__xludf.DUMMYFUNCTION("IMPORTRANGE(""https://docs.google.com/spreadsheets/d/19vJNZY_5yjcGF2XGBMNZRCAIB0Kwfpjp8YEOfu-bneM/edit?usp=sharing"",""งานกองทุน!J66"")"),5)</f>
        <v>5</v>
      </c>
      <c r="K824" s="495">
        <f t="shared" ca="1" si="334"/>
        <v>13.513513513513514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IFERROR(__xludf.DUMMYFUNCTION("IMPORTRANGE(""https://docs.google.com/spreadsheets/d/19vJNZY_5yjcGF2XGBMNZRCAIB0Kwfpjp8YEOfu-bneM/edit?usp=sharing"",""งานกองทุน!N66"")"),0)</f>
        <v>0</v>
      </c>
      <c r="J825" s="264">
        <f ca="1">IFERROR(__xludf.DUMMYFUNCTION("IMPORTRANGE(""https://docs.google.com/spreadsheets/d/19vJNZY_5yjcGF2XGBMNZRCAIB0Kwfpjp8YEOfu-bneM/edit?usp=sharing"",""งานกองทุน!P66"")"),0)</f>
        <v>0</v>
      </c>
      <c r="K825" s="495">
        <f t="shared" ca="1" si="334"/>
        <v>0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IFERROR(__xludf.DUMMYFUNCTION("IMPORTRANGE(""https://docs.google.com/spreadsheets/d/19vJNZY_5yjcGF2XGBMNZRCAIB0Kwfpjp8YEOfu-bneM/edit?usp=sharing"",""งานกองทุน!M66"")"),0)</f>
        <v>0</v>
      </c>
      <c r="J826" s="264">
        <f ca="1">IFERROR(__xludf.DUMMYFUNCTION("IMPORTRANGE(""https://docs.google.com/spreadsheets/d/19vJNZY_5yjcGF2XGBMNZRCAIB0Kwfpjp8YEOfu-bneM/edit?usp=sharing"",""งานกองทุน!O66"")"),0)</f>
        <v>0</v>
      </c>
      <c r="K826" s="495">
        <f t="shared" ca="1" si="334"/>
        <v>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IFERROR(__xludf.DUMMYFUNCTION("IMPORTRANGE(""https://docs.google.com/spreadsheets/d/19vJNZY_5yjcGF2XGBMNZRCAIB0Kwfpjp8YEOfu-bneM/edit?usp=sharing"",""งานกองทุน!S66"")"),2500000)</f>
        <v>2500000</v>
      </c>
      <c r="J827" s="264">
        <f ca="1">IFERROR(__xludf.DUMMYFUNCTION("IMPORTRANGE(""https://docs.google.com/spreadsheets/d/19vJNZY_5yjcGF2XGBMNZRCAIB0Kwfpjp8YEOfu-bneM/edit?usp=sharing"",""งานกองทุน!U66"")"),0)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IFERROR(__xludf.DUMMYFUNCTION("IMPORTRANGE(""https://docs.google.com/spreadsheets/d/19vJNZY_5yjcGF2XGBMNZRCAIB0Kwfpjp8YEOfu-bneM/edit?usp=sharing"",""งานกองทุน!R66"")"),72)</f>
        <v>72</v>
      </c>
      <c r="J828" s="498">
        <f ca="1">IFERROR(__xludf.DUMMYFUNCTION("IMPORTRANGE(""https://docs.google.com/spreadsheets/d/19vJNZY_5yjcGF2XGBMNZRCAIB0Kwfpjp8YEOfu-bneM/edit?usp=sharing"",""งานกองทุน!T66"")"),51)</f>
        <v>51</v>
      </c>
      <c r="K828" s="499">
        <f t="shared" ca="1" si="334"/>
        <v>70.833333333333329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DFFA-58F8-4A6B-94C5-650BCD530CB8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Z31" sqref="Z31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352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4146408</v>
      </c>
      <c r="M8" s="21">
        <f t="shared" ca="1" si="0"/>
        <v>1441070</v>
      </c>
      <c r="N8" s="21">
        <f t="shared" ca="1" si="0"/>
        <v>950368.98</v>
      </c>
      <c r="O8" s="21">
        <f t="shared" ref="O8:O16" ca="1" si="1">IF(L8&gt;0,N8*100/L8,0)</f>
        <v>22.920295831958651</v>
      </c>
      <c r="P8" s="21">
        <f t="shared" ref="P8:P16" ca="1" si="2">IF(M8&gt;0,N8*100/M8,0)</f>
        <v>65.948842179769201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4146408</v>
      </c>
      <c r="M10" s="29">
        <f t="shared" ca="1" si="3"/>
        <v>1441070</v>
      </c>
      <c r="N10" s="29">
        <f t="shared" ca="1" si="3"/>
        <v>950368.98</v>
      </c>
      <c r="O10" s="29">
        <f t="shared" ca="1" si="1"/>
        <v>22.920295831958651</v>
      </c>
      <c r="P10" s="29">
        <f t="shared" ca="1" si="2"/>
        <v>65.948842179769201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4077408</v>
      </c>
      <c r="M11" s="495">
        <f t="shared" ca="1" si="4"/>
        <v>1372070</v>
      </c>
      <c r="N11" s="495">
        <f t="shared" ca="1" si="4"/>
        <v>881368.98</v>
      </c>
      <c r="O11" s="495">
        <f t="shared" ca="1" si="1"/>
        <v>21.615913344948556</v>
      </c>
      <c r="P11" s="495">
        <f t="shared" ca="1" si="2"/>
        <v>64.236444204741744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4077408</v>
      </c>
      <c r="M13" s="90">
        <f t="shared" ca="1" si="5"/>
        <v>1372070</v>
      </c>
      <c r="N13" s="90">
        <f t="shared" ca="1" si="5"/>
        <v>881368.98</v>
      </c>
      <c r="O13" s="90">
        <f t="shared" ca="1" si="1"/>
        <v>21.615913344948556</v>
      </c>
      <c r="P13" s="90">
        <f t="shared" ca="1" si="2"/>
        <v>64.236444204741744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69000</v>
      </c>
      <c r="M14" s="495">
        <f t="shared" ca="1" si="6"/>
        <v>69000</v>
      </c>
      <c r="N14" s="495">
        <f t="shared" ca="1" si="6"/>
        <v>69000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69000</v>
      </c>
      <c r="M16" s="51">
        <f t="shared" ca="1" si="7"/>
        <v>69000</v>
      </c>
      <c r="N16" s="51">
        <f t="shared" ca="1" si="7"/>
        <v>69000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2704370</v>
      </c>
      <c r="M18" s="21">
        <f t="shared" ca="1" si="8"/>
        <v>1441070</v>
      </c>
      <c r="N18" s="21">
        <f t="shared" ca="1" si="8"/>
        <v>781048.80999999994</v>
      </c>
      <c r="O18" s="21">
        <f t="shared" ref="O18:O26" ca="1" si="9">IF(L18&gt;0,N18*100/L18,0)</f>
        <v>28.880989287708413</v>
      </c>
      <c r="P18" s="21">
        <f t="shared" ref="P18:P26" ca="1" si="10">IF(M18&gt;0,N18*100/M18,0)</f>
        <v>54.19922765722692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2704370</v>
      </c>
      <c r="M20" s="29">
        <f t="shared" ca="1" si="11"/>
        <v>1441070</v>
      </c>
      <c r="N20" s="29">
        <f t="shared" ca="1" si="11"/>
        <v>781048.80999999994</v>
      </c>
      <c r="O20" s="29">
        <f t="shared" ca="1" si="9"/>
        <v>28.880989287708413</v>
      </c>
      <c r="P20" s="29">
        <f t="shared" ca="1" si="10"/>
        <v>54.19922765722692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2635370</v>
      </c>
      <c r="M21" s="495">
        <f t="shared" ca="1" si="12"/>
        <v>1372070</v>
      </c>
      <c r="N21" s="495">
        <f t="shared" ca="1" si="12"/>
        <v>712048.80999999994</v>
      </c>
      <c r="O21" s="495">
        <f t="shared" ca="1" si="9"/>
        <v>27.018931307558333</v>
      </c>
      <c r="P21" s="495">
        <f t="shared" ca="1" si="10"/>
        <v>51.895953559220736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2635370</v>
      </c>
      <c r="M23" s="90">
        <f t="shared" ca="1" si="13"/>
        <v>1372070</v>
      </c>
      <c r="N23" s="90">
        <f t="shared" ca="1" si="13"/>
        <v>712048.80999999994</v>
      </c>
      <c r="O23" s="90">
        <f t="shared" ca="1" si="9"/>
        <v>27.018931307558333</v>
      </c>
      <c r="P23" s="90">
        <f t="shared" ca="1" si="10"/>
        <v>51.895953559220736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69000</v>
      </c>
      <c r="M24" s="495">
        <f t="shared" ca="1" si="14"/>
        <v>69000</v>
      </c>
      <c r="N24" s="495">
        <f t="shared" ca="1" si="14"/>
        <v>69000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69000</v>
      </c>
      <c r="M26" s="51">
        <f t="shared" ca="1" si="15"/>
        <v>69000</v>
      </c>
      <c r="N26" s="51">
        <f t="shared" ca="1" si="15"/>
        <v>69000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1442038</v>
      </c>
      <c r="M28" s="21">
        <f t="shared" si="16"/>
        <v>0</v>
      </c>
      <c r="N28" s="21">
        <f t="shared" si="16"/>
        <v>169320.16999999998</v>
      </c>
      <c r="O28" s="21">
        <f t="shared" ref="O28:O37" ca="1" si="17">IF(L28&gt;0,N28*100/L28,0)</f>
        <v>11.741727333121595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1442038</v>
      </c>
      <c r="M30" s="29">
        <f t="shared" si="19"/>
        <v>0</v>
      </c>
      <c r="N30" s="29">
        <f t="shared" si="19"/>
        <v>169320.16999999998</v>
      </c>
      <c r="O30" s="29">
        <f t="shared" ca="1" si="17"/>
        <v>11.741727333121595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1442038</v>
      </c>
      <c r="M31" s="495">
        <f t="shared" si="20"/>
        <v>0</v>
      </c>
      <c r="N31" s="495">
        <f t="shared" si="20"/>
        <v>169320.16999999998</v>
      </c>
      <c r="O31" s="495">
        <f t="shared" ca="1" si="17"/>
        <v>11.741727333121595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1442038</v>
      </c>
      <c r="M33" s="90">
        <f t="shared" si="21"/>
        <v>0</v>
      </c>
      <c r="N33" s="90">
        <f t="shared" si="21"/>
        <v>169320.16999999998</v>
      </c>
      <c r="O33" s="90">
        <f t="shared" ca="1" si="17"/>
        <v>11.741727333121595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2704370</v>
      </c>
      <c r="M37" s="57">
        <f t="shared" ca="1" si="24"/>
        <v>1441070</v>
      </c>
      <c r="N37" s="57">
        <f t="shared" ca="1" si="24"/>
        <v>781048.80999999994</v>
      </c>
      <c r="O37" s="57">
        <f t="shared" ca="1" si="17"/>
        <v>28.880989287708413</v>
      </c>
      <c r="P37" s="57">
        <f t="shared" ca="1" si="18"/>
        <v>54.19922765722692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349000</v>
      </c>
      <c r="M41" s="82">
        <f t="shared" ca="1" si="25"/>
        <v>175850</v>
      </c>
      <c r="N41" s="82">
        <f t="shared" ca="1" si="25"/>
        <v>96700</v>
      </c>
      <c r="O41" s="82">
        <f t="shared" ref="O41:O49" ca="1" si="26">IF(L41&gt;0,N41*100/L41,0)</f>
        <v>27.707736389684815</v>
      </c>
      <c r="P41" s="82">
        <f t="shared" ref="P41:P49" ca="1" si="27">IF(M41&gt;0,N41*100/M41,0)</f>
        <v>54.990048336650553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349000</v>
      </c>
      <c r="M43" s="89">
        <f t="shared" ca="1" si="28"/>
        <v>175850</v>
      </c>
      <c r="N43" s="89">
        <f t="shared" ca="1" si="28"/>
        <v>96700</v>
      </c>
      <c r="O43" s="89">
        <f t="shared" ca="1" si="26"/>
        <v>27.707736389684815</v>
      </c>
      <c r="P43" s="89">
        <f t="shared" ca="1" si="27"/>
        <v>54.990048336650553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349000</v>
      </c>
      <c r="M44" s="495">
        <f t="shared" ca="1" si="29"/>
        <v>175850</v>
      </c>
      <c r="N44" s="495">
        <f t="shared" ca="1" si="29"/>
        <v>96700</v>
      </c>
      <c r="O44" s="495">
        <f t="shared" ca="1" si="26"/>
        <v>27.707736389684815</v>
      </c>
      <c r="P44" s="495">
        <f t="shared" ca="1" si="27"/>
        <v>54.990048336650553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IFERROR(__xludf.DUMMYFUNCTION("IMPORTRANGE(""https://docs.google.com/spreadsheets/d/1MeEWN-I1oV_STSDYn1IFDPWt_1FKiwhDph83XaGc0o0/edit?usp=sharing"",""งบพรบ!M67"")"),349000)</f>
        <v>349000</v>
      </c>
      <c r="M46" s="90">
        <f ca="1">IFERROR(__xludf.DUMMYFUNCTION("IMPORTRANGE(""https://docs.google.com/spreadsheets/d/1MeEWN-I1oV_STSDYn1IFDPWt_1FKiwhDph83XaGc0o0/edit?usp=sharing"",""งบพรบ!R67"")"),175850)</f>
        <v>175850</v>
      </c>
      <c r="N46" s="90">
        <f ca="1">IFERROR(__xludf.DUMMYFUNCTION("IMPORTRANGE(""https://docs.google.com/spreadsheets/d/1MeEWN-I1oV_STSDYn1IFDPWt_1FKiwhDph83XaGc0o0/edit?usp=sharing"",""งบพรบ!T67"")"),96700)</f>
        <v>96700</v>
      </c>
      <c r="O46" s="90">
        <f t="shared" ca="1" si="26"/>
        <v>27.707736389684815</v>
      </c>
      <c r="P46" s="90">
        <f t="shared" ca="1" si="27"/>
        <v>54.990048336650553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IFERROR(__xludf.DUMMYFUNCTION("IMPORTRANGE(""https://docs.google.com/spreadsheets/d/1MeEWN-I1oV_STSDYn1IFDPWt_1FKiwhDph83XaGc0o0/edit?usp=sharing"",""งบพรบ!P67"")"),0)</f>
        <v>0</v>
      </c>
      <c r="M49" s="51">
        <f ca="1">IFERROR(__xludf.DUMMYFUNCTION("IMPORTRANGE(""https://docs.google.com/spreadsheets/d/1MeEWN-I1oV_STSDYn1IFDPWt_1FKiwhDph83XaGc0o0/edit?usp=sharing"",""งบพรบ!S67"")"),0)</f>
        <v>0</v>
      </c>
      <c r="N49" s="51">
        <f ca="1">IFERROR(__xludf.DUMMYFUNCTION("IMPORTRANGE(""https://docs.google.com/spreadsheets/d/1MeEWN-I1oV_STSDYn1IFDPWt_1FKiwhDph83XaGc0o0/edit?usp=sharing"",""งบพรบ!U67"")"),0)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661300</v>
      </c>
      <c r="M53" s="112">
        <f t="shared" ca="1" si="31"/>
        <v>414270</v>
      </c>
      <c r="N53" s="112">
        <f t="shared" ca="1" si="31"/>
        <v>338011.69</v>
      </c>
      <c r="O53" s="112">
        <f t="shared" ref="O53:O61" ca="1" si="32">IF(L53&gt;0,N53*100/L53,0)</f>
        <v>51.113214879782248</v>
      </c>
      <c r="P53" s="112">
        <f t="shared" ref="P53:P61" ca="1" si="33">IF(M53&gt;0,N53*100/M53,0)</f>
        <v>81.592123494339447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661300</v>
      </c>
      <c r="M55" s="119">
        <f t="shared" ca="1" si="34"/>
        <v>414270</v>
      </c>
      <c r="N55" s="119">
        <f t="shared" ca="1" si="34"/>
        <v>338011.69</v>
      </c>
      <c r="O55" s="119">
        <f t="shared" ca="1" si="32"/>
        <v>51.113214879782248</v>
      </c>
      <c r="P55" s="119">
        <f t="shared" ca="1" si="33"/>
        <v>81.592123494339447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607300</v>
      </c>
      <c r="M56" s="495">
        <f t="shared" ca="1" si="35"/>
        <v>360270</v>
      </c>
      <c r="N56" s="495">
        <f t="shared" ca="1" si="35"/>
        <v>284011.69</v>
      </c>
      <c r="O56" s="495">
        <f t="shared" ca="1" si="32"/>
        <v>46.766291783303146</v>
      </c>
      <c r="P56" s="495">
        <f t="shared" ca="1" si="33"/>
        <v>78.833011352596657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IFERROR(__xludf.DUMMYFUNCTION("IMPORTRANGE(""https://docs.google.com/spreadsheets/d/1MeEWN-I1oV_STSDYn1IFDPWt_1FKiwhDph83XaGc0o0/edit?usp=sharing"",""งบพรบ!W67"")"),607300)</f>
        <v>607300</v>
      </c>
      <c r="M58" s="90">
        <f ca="1">IFERROR(__xludf.DUMMYFUNCTION("IMPORTRANGE(""https://docs.google.com/spreadsheets/d/1MeEWN-I1oV_STSDYn1IFDPWt_1FKiwhDph83XaGc0o0/edit?usp=sharing"",""งบพรบ!AB67"")"),360270)</f>
        <v>360270</v>
      </c>
      <c r="N58" s="90">
        <f ca="1">IFERROR(__xludf.DUMMYFUNCTION("IMPORTRANGE(""https://docs.google.com/spreadsheets/d/1MeEWN-I1oV_STSDYn1IFDPWt_1FKiwhDph83XaGc0o0/edit?usp=sharing"",""งบพรบ!AD67"")"),284011.69)</f>
        <v>284011.69</v>
      </c>
      <c r="O58" s="90">
        <f t="shared" ca="1" si="32"/>
        <v>46.766291783303146</v>
      </c>
      <c r="P58" s="90">
        <f t="shared" ca="1" si="33"/>
        <v>78.833011352596657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54000</v>
      </c>
      <c r="M59" s="495">
        <f t="shared" ca="1" si="36"/>
        <v>54000</v>
      </c>
      <c r="N59" s="495">
        <f t="shared" ca="1" si="36"/>
        <v>54000</v>
      </c>
      <c r="O59" s="495">
        <f t="shared" ca="1" si="32"/>
        <v>100</v>
      </c>
      <c r="P59" s="495">
        <f t="shared" ca="1" si="33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IFERROR(__xludf.DUMMYFUNCTION("IMPORTRANGE(""https://docs.google.com/spreadsheets/d/1MeEWN-I1oV_STSDYn1IFDPWt_1FKiwhDph83XaGc0o0/edit?usp=sharing"",""งบพรบ!Z67"")"),54000)</f>
        <v>54000</v>
      </c>
      <c r="M61" s="51">
        <f ca="1">IFERROR(__xludf.DUMMYFUNCTION("IMPORTRANGE(""https://docs.google.com/spreadsheets/d/1MeEWN-I1oV_STSDYn1IFDPWt_1FKiwhDph83XaGc0o0/edit?usp=sharing"",""งบพรบ!AC67"")"),54000)</f>
        <v>54000</v>
      </c>
      <c r="N61" s="51">
        <f ca="1">IFERROR(__xludf.DUMMYFUNCTION("IMPORTRANGE(""https://docs.google.com/spreadsheets/d/1MeEWN-I1oV_STSDYn1IFDPWt_1FKiwhDph83XaGc0o0/edit?usp=sharing"",""งบพรบ!AE67"")"),54000)</f>
        <v>54000</v>
      </c>
      <c r="O61" s="51">
        <f t="shared" ca="1" si="32"/>
        <v>100</v>
      </c>
      <c r="P61" s="51">
        <f t="shared" ca="1" si="33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IFERROR(__xludf.DUMMYFUNCTION("IMPORTRANGE(""https://docs.google.com/spreadsheets/d/1MeEWN-I1oV_STSDYn1IFDPWt_1FKiwhDph83XaGc0o0/edit?usp=sharing"",""งบพรบ!AG67"")"),0)</f>
        <v>0</v>
      </c>
      <c r="M71" s="90">
        <f ca="1">IFERROR(__xludf.DUMMYFUNCTION("IMPORTRANGE(""https://docs.google.com/spreadsheets/d/1MeEWN-I1oV_STSDYn1IFDPWt_1FKiwhDph83XaGc0o0/edit?usp=sharing"",""งบพรบ!AL67"")"),0)</f>
        <v>0</v>
      </c>
      <c r="N71" s="90">
        <f ca="1">IFERROR(__xludf.DUMMYFUNCTION("IMPORTRANGE(""https://docs.google.com/spreadsheets/d/1MeEWN-I1oV_STSDYn1IFDPWt_1FKiwhDph83XaGc0o0/edit?usp=sharing"",""งบพรบ!AN67"")"),0)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IFERROR(__xludf.DUMMYFUNCTION("IMPORTRANGE(""https://docs.google.com/spreadsheets/d/1MeEWN-I1oV_STSDYn1IFDPWt_1FKiwhDph83XaGc0o0/edit?usp=sharing"",""งบพรบ!AJ67"")"),0)</f>
        <v>0</v>
      </c>
      <c r="M74" s="90">
        <f ca="1">IFERROR(__xludf.DUMMYFUNCTION("IMPORTRANGE(""https://docs.google.com/spreadsheets/d/1MeEWN-I1oV_STSDYn1IFDPWt_1FKiwhDph83XaGc0o0/edit?usp=sharing"",""งบพรบ!AM67"")"),0)</f>
        <v>0</v>
      </c>
      <c r="N74" s="90">
        <f ca="1">IFERROR(__xludf.DUMMYFUNCTION("IMPORTRANGE(""https://docs.google.com/spreadsheets/d/1MeEWN-I1oV_STSDYn1IFDPWt_1FKiwhDph83XaGc0o0/edit?usp=sharing"",""งบพรบ!AO67"")"),0)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IFERROR(__xludf.DUMMYFUNCTION("IMPORTRANGE(""https://docs.google.com/spreadsheets/d/1QqKyyYR6Q21VydFLVH3TRQUabQu_ym0Zz7PgGX0-kHA/edit?usp=sharing"",""แผน!H67"")"),0)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IFERROR(__xludf.DUMMYFUNCTION("IMPORTRANGE(""https://docs.google.com/spreadsheets/d/1QqKyyYR6Q21VydFLVH3TRQUabQu_ym0Zz7PgGX0-kHA/edit?usp=sharing"",""แผน!I67"")"),0)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IFERROR(__xludf.DUMMYFUNCTION("IMPORTRANGE(""https://docs.google.com/spreadsheets/d/1QqKyyYR6Q21VydFLVH3TRQUabQu_ym0Zz7PgGX0-kHA/edit?usp=sharing"",""แผน!F67"")"),0)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IFERROR(__xludf.DUMMYFUNCTION("IMPORTRANGE(""https://docs.google.com/spreadsheets/d/1QqKyyYR6Q21VydFLVH3TRQUabQu_ym0Zz7PgGX0-kHA/edit?usp=sharing"",""แผน!G67"")"),0)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IFERROR(__xludf.DUMMYFUNCTION("IMPORTRANGE(""https://docs.google.com/spreadsheets/d/1QqKyyYR6Q21VydFLVH3TRQUabQu_ym0Zz7PgGX0-kHA/edit?usp=sharing"",""แผน!D67"")"),0)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IFERROR(__xludf.DUMMYFUNCTION("IMPORTRANGE(""https://docs.google.com/spreadsheets/d/1QqKyyYR6Q21VydFLVH3TRQUabQu_ym0Zz7PgGX0-kHA/edit?usp=sharing"",""แผน!E67"")"),0)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IFERROR(__xludf.DUMMYFUNCTION("IMPORTRANGE(""https://docs.google.com/spreadsheets/d/1QqKyyYR6Q21VydFLVH3TRQUabQu_ym0Zz7PgGX0-kHA/edit?usp=sharing"",""แผน!J67"")"),0)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45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15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128360</v>
      </c>
      <c r="M88" s="151">
        <f t="shared" ca="1" si="49"/>
        <v>60510</v>
      </c>
      <c r="N88" s="151">
        <f t="shared" ca="1" si="49"/>
        <v>3800</v>
      </c>
      <c r="O88" s="151">
        <f t="shared" ref="O88:O96" ca="1" si="50">IF(L88&gt;0,N88*100/L88,0)</f>
        <v>2.9604238080398879</v>
      </c>
      <c r="P88" s="151">
        <f t="shared" ref="P88:P96" ca="1" si="51">IF(M88&gt;0,N88*100/M88,0)</f>
        <v>6.2799537266567507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128360</v>
      </c>
      <c r="M90" s="90">
        <f t="shared" ca="1" si="52"/>
        <v>60510</v>
      </c>
      <c r="N90" s="90">
        <f t="shared" ca="1" si="52"/>
        <v>3800</v>
      </c>
      <c r="O90" s="90">
        <f t="shared" ca="1" si="50"/>
        <v>2.9604238080398879</v>
      </c>
      <c r="P90" s="90">
        <f t="shared" ca="1" si="51"/>
        <v>6.2799537266567507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128360</v>
      </c>
      <c r="M91" s="495">
        <f t="shared" ca="1" si="53"/>
        <v>60510</v>
      </c>
      <c r="N91" s="495">
        <f t="shared" ca="1" si="53"/>
        <v>3800</v>
      </c>
      <c r="O91" s="495">
        <f t="shared" ca="1" si="50"/>
        <v>2.9604238080398879</v>
      </c>
      <c r="P91" s="495">
        <f t="shared" ca="1" si="51"/>
        <v>6.2799537266567507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IFERROR(__xludf.DUMMYFUNCTION("IMPORTRANGE(""https://docs.google.com/spreadsheets/d/1MeEWN-I1oV_STSDYn1IFDPWt_1FKiwhDph83XaGc0o0/edit?usp=sharing"",""งบพรบ!AQ67"")"),128360)</f>
        <v>128360</v>
      </c>
      <c r="M93" s="90">
        <f ca="1">IFERROR(__xludf.DUMMYFUNCTION("IMPORTRANGE(""https://docs.google.com/spreadsheets/d/1MeEWN-I1oV_STSDYn1IFDPWt_1FKiwhDph83XaGc0o0/edit?usp=sharing"",""งบพรบ!AV67"")"),60510)</f>
        <v>60510</v>
      </c>
      <c r="N93" s="90">
        <f ca="1">IFERROR(__xludf.DUMMYFUNCTION("IMPORTRANGE(""https://docs.google.com/spreadsheets/d/1MeEWN-I1oV_STSDYn1IFDPWt_1FKiwhDph83XaGc0o0/edit?usp=sharing"",""งบพรบ!AX67"")"),3800)</f>
        <v>3800</v>
      </c>
      <c r="O93" s="90">
        <f t="shared" ca="1" si="50"/>
        <v>2.9604238080398879</v>
      </c>
      <c r="P93" s="90">
        <f t="shared" ca="1" si="51"/>
        <v>6.2799537266567507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IFERROR(__xludf.DUMMYFUNCTION("IMPORTRANGE(""https://docs.google.com/spreadsheets/d/1MeEWN-I1oV_STSDYn1IFDPWt_1FKiwhDph83XaGc0o0/edit?usp=sharing"",""งบพรบ!AT67"")"),0)</f>
        <v>0</v>
      </c>
      <c r="M96" s="90">
        <f ca="1">IFERROR(__xludf.DUMMYFUNCTION("IMPORTRANGE(""https://docs.google.com/spreadsheets/d/1MeEWN-I1oV_STSDYn1IFDPWt_1FKiwhDph83XaGc0o0/edit?usp=sharing"",""งบพรบ!AW67"")"),0)</f>
        <v>0</v>
      </c>
      <c r="N96" s="90">
        <f ca="1">IFERROR(__xludf.DUMMYFUNCTION("IMPORTRANGE(""https://docs.google.com/spreadsheets/d/1MeEWN-I1oV_STSDYn1IFDPWt_1FKiwhDph83XaGc0o0/edit?usp=sharing"",""งบพรบ!AY67"")"),0)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IFERROR(__xludf.DUMMYFUNCTION("IMPORTRANGE(""https://docs.google.com/spreadsheets/d/1QqKyyYR6Q21VydFLVH3TRQUabQu_ym0Zz7PgGX0-kHA/edit?usp=sharing"",""แผน!K67"")"),45)</f>
        <v>45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IFERROR(__xludf.DUMMYFUNCTION("IMPORTRANGE(""https://docs.google.com/spreadsheets/d/1QqKyyYR6Q21VydFLVH3TRQUabQu_ym0Zz7PgGX0-kHA/edit?usp=sharing"",""แผน!L67"")"),15)</f>
        <v>15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IFERROR(__xludf.DUMMYFUNCTION("IMPORTRANGE(""https://docs.google.com/spreadsheets/d/1QqKyyYR6Q21VydFLVH3TRQUabQu_ym0Zz7PgGX0-kHA/edit?usp=sharing"",""แผน!M67"")"),3)</f>
        <v>3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IFERROR(__xludf.DUMMYFUNCTION("IMPORTRANGE(""https://docs.google.com/spreadsheets/d/1QqKyyYR6Q21VydFLVH3TRQUabQu_ym0Zz7PgGX0-kHA/edit?usp=sharing"",""แผน!N67"")"),45)</f>
        <v>45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IFERROR(__xludf.DUMMYFUNCTION("IMPORTRANGE(""https://docs.google.com/spreadsheets/d/1QqKyyYR6Q21VydFLVH3TRQUabQu_ym0Zz7PgGX0-kHA/edit?usp=sharing"",""แผน!O67"")"),15)</f>
        <v>15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IFERROR(__xludf.DUMMYFUNCTION("IMPORTRANGE(""https://docs.google.com/spreadsheets/d/1QqKyyYR6Q21VydFLVH3TRQUabQu_ym0Zz7PgGX0-kHA/edit?usp=sharing"",""แผน!O67"")"),15)</f>
        <v>15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IFERROR(__xludf.DUMMYFUNCTION("IMPORTRANGE(""https://docs.google.com/spreadsheets/d/1QqKyyYR6Q21VydFLVH3TRQUabQu_ym0Zz7PgGX0-kHA/edit?usp=sharing"",""แผน!P67"")"),2)</f>
        <v>2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IFERROR(__xludf.DUMMYFUNCTION("IMPORTRANGE(""https://docs.google.com/spreadsheets/d/1QqKyyYR6Q21VydFLVH3TRQUabQu_ym0Zz7PgGX0-kHA/edit?usp=sharing"",""แผน!P67"")"),2)</f>
        <v>2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IFERROR(__xludf.DUMMYFUNCTION("IMPORTRANGE(""https://docs.google.com/spreadsheets/d/1QqKyyYR6Q21VydFLVH3TRQUabQu_ym0Zz7PgGX0-kHA/edit?usp=sharing"",""แผน!Q67"")"),1)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IFERROR(__xludf.DUMMYFUNCTION("IMPORTRANGE(""https://docs.google.com/spreadsheets/d/1QqKyyYR6Q21VydFLVH3TRQUabQu_ym0Zz7PgGX0-kHA/edit?usp=sharing"",""แผน!Q67"")"),1)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IFERROR(__xludf.DUMMYFUNCTION("IMPORTRANGE(""https://docs.google.com/spreadsheets/d/1QqKyyYR6Q21VydFLVH3TRQUabQu_ym0Zz7PgGX0-kHA/edit?usp=sharing"",""แผน!R67"")"),15)</f>
        <v>15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3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IFERROR(__xludf.DUMMYFUNCTION("IMPORTRANGE(""https://docs.google.com/spreadsheets/d/1QqKyyYR6Q21VydFLVH3TRQUabQu_ym0Zz7PgGX0-kHA/edit?usp=sharing"",""แผน!R67"")"),15)</f>
        <v>15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IFERROR(__xludf.DUMMYFUNCTION("IMPORTRANGE(""https://docs.google.com/spreadsheets/d/1QqKyyYR6Q21VydFLVH3TRQUabQu_ym0Zz7PgGX0-kHA/edit?usp=sharing"",""แผน!R67"")"),15)</f>
        <v>15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IFERROR(__xludf.DUMMYFUNCTION("IMPORTRANGE(""https://docs.google.com/spreadsheets/d/1QqKyyYR6Q21VydFLVH3TRQUabQu_ym0Zz7PgGX0-kHA/edit?usp=sharing"",""แผน!S67"")"),2)</f>
        <v>2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IFERROR(__xludf.DUMMYFUNCTION("IMPORTRANGE(""https://docs.google.com/spreadsheets/d/1QqKyyYR6Q21VydFLVH3TRQUabQu_ym0Zz7PgGX0-kHA/edit?usp=sharing"",""แผน!T67"")"),1)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IFERROR(__xludf.DUMMYFUNCTION("IMPORTRANGE(""https://docs.google.com/spreadsheets/d/1MeEWN-I1oV_STSDYn1IFDPWt_1FKiwhDph83XaGc0o0/edit?usp=sharing"",""งบพรบ!BA67"")"),0)</f>
        <v>0</v>
      </c>
      <c r="M124" s="90">
        <f ca="1">IFERROR(__xludf.DUMMYFUNCTION("IMPORTRANGE(""https://docs.google.com/spreadsheets/d/1MeEWN-I1oV_STSDYn1IFDPWt_1FKiwhDph83XaGc0o0/edit?usp=sharing"",""งบพรบ!BF67"")"),0)</f>
        <v>0</v>
      </c>
      <c r="N124" s="90">
        <f ca="1">IFERROR(__xludf.DUMMYFUNCTION("IMPORTRANGE(""https://docs.google.com/spreadsheets/d/1MeEWN-I1oV_STSDYn1IFDPWt_1FKiwhDph83XaGc0o0/edit?usp=sharing"",""งบพรบ!BH67"")"),0)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IFERROR(__xludf.DUMMYFUNCTION("IMPORTRANGE(""https://docs.google.com/spreadsheets/d/1MeEWN-I1oV_STSDYn1IFDPWt_1FKiwhDph83XaGc0o0/edit?usp=sharing"",""งบพรบ!BD67"")"),0)</f>
        <v>0</v>
      </c>
      <c r="M127" s="90">
        <f ca="1">IFERROR(__xludf.DUMMYFUNCTION("IMPORTRANGE(""https://docs.google.com/spreadsheets/d/1MeEWN-I1oV_STSDYn1IFDPWt_1FKiwhDph83XaGc0o0/edit?usp=sharing"",""งบพรบ!BG67"")"),0)</f>
        <v>0</v>
      </c>
      <c r="N127" s="90">
        <f ca="1">IFERROR(__xludf.DUMMYFUNCTION("IMPORTRANGE(""https://docs.google.com/spreadsheets/d/1MeEWN-I1oV_STSDYn1IFDPWt_1FKiwhDph83XaGc0o0/edit?usp=sharing"",""งบพรบ!BI67"")"),0)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IFERROR(__xludf.DUMMYFUNCTION("IMPORTRANGE(""https://docs.google.com/spreadsheets/d/1MeEWN-I1oV_STSDYn1IFDPWt_1FKiwhDph83XaGc0o0/edit?usp=sharing"",""งบพรบ!BK67"")"),0)</f>
        <v>0</v>
      </c>
      <c r="M137" s="90">
        <f ca="1">IFERROR(__xludf.DUMMYFUNCTION("IMPORTRANGE(""https://docs.google.com/spreadsheets/d/1MeEWN-I1oV_STSDYn1IFDPWt_1FKiwhDph83XaGc0o0/edit?usp=sharing"",""งบพรบ!BP67"")"),0)</f>
        <v>0</v>
      </c>
      <c r="N137" s="90">
        <f ca="1">IFERROR(__xludf.DUMMYFUNCTION("IMPORTRANGE(""https://docs.google.com/spreadsheets/d/1MeEWN-I1oV_STSDYn1IFDPWt_1FKiwhDph83XaGc0o0/edit?usp=sharing"",""งบพรบ!BR67"")"),0)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IFERROR(__xludf.DUMMYFUNCTION("IMPORTRANGE(""https://docs.google.com/spreadsheets/d/1MeEWN-I1oV_STSDYn1IFDPWt_1FKiwhDph83XaGc0o0/edit?usp=sharing"",""งบพรบ!BN67"")"),0)</f>
        <v>0</v>
      </c>
      <c r="M140" s="90">
        <f ca="1">IFERROR(__xludf.DUMMYFUNCTION("IMPORTRANGE(""https://docs.google.com/spreadsheets/d/1MeEWN-I1oV_STSDYn1IFDPWt_1FKiwhDph83XaGc0o0/edit?usp=sharing"",""งบพรบ!BQ67"")"),0)</f>
        <v>0</v>
      </c>
      <c r="N140" s="90">
        <f ca="1">IFERROR(__xludf.DUMMYFUNCTION("IMPORTRANGE(""https://docs.google.com/spreadsheets/d/1MeEWN-I1oV_STSDYn1IFDPWt_1FKiwhDph83XaGc0o0/edit?usp=sharing"",""งบพรบ!BS67"")"),0)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IFERROR(__xludf.DUMMYFUNCTION("IMPORTRANGE(""https://docs.google.com/spreadsheets/d/1QqKyyYR6Q21VydFLVH3TRQUabQu_ym0Zz7PgGX0-kHA/edit?usp=sharing"",""แผน!U67"")"),0)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IFERROR(__xludf.DUMMYFUNCTION("IMPORTRANGE(""https://docs.google.com/spreadsheets/d/1QqKyyYR6Q21VydFLVH3TRQUabQu_ym0Zz7PgGX0-kHA/edit?usp=sharing"",""แผน!V67"")"),0)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IFERROR(__xludf.DUMMYFUNCTION("IMPORTRANGE(""https://docs.google.com/spreadsheets/d/1QqKyyYR6Q21VydFLVH3TRQUabQu_ym0Zz7PgGX0-kHA/edit?usp=sharing"",""แผน!W67"")"),0)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15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7500</v>
      </c>
      <c r="M149" s="151">
        <f t="shared" ca="1" si="77"/>
        <v>7500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7500</v>
      </c>
      <c r="M151" s="90">
        <f t="shared" ca="1" si="80"/>
        <v>7500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7500</v>
      </c>
      <c r="M152" s="495">
        <f t="shared" ca="1" si="81"/>
        <v>7500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IFERROR(__xludf.DUMMYFUNCTION("IMPORTRANGE(""https://docs.google.com/spreadsheets/d/1MeEWN-I1oV_STSDYn1IFDPWt_1FKiwhDph83XaGc0o0/edit?usp=sharing"",""งบพรบ!BU67"")"),7500)</f>
        <v>7500</v>
      </c>
      <c r="M154" s="90">
        <f ca="1">IFERROR(__xludf.DUMMYFUNCTION("IMPORTRANGE(""https://docs.google.com/spreadsheets/d/1MeEWN-I1oV_STSDYn1IFDPWt_1FKiwhDph83XaGc0o0/edit?usp=sharing"",""งบพรบ!BZ67"")"),7500)</f>
        <v>7500</v>
      </c>
      <c r="N154" s="90">
        <f ca="1">IFERROR(__xludf.DUMMYFUNCTION("IMPORTRANGE(""https://docs.google.com/spreadsheets/d/1MeEWN-I1oV_STSDYn1IFDPWt_1FKiwhDph83XaGc0o0/edit?usp=sharing"",""งบพรบ!CB67"")"),0)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IFERROR(__xludf.DUMMYFUNCTION("IMPORTRANGE(""https://docs.google.com/spreadsheets/d/1MeEWN-I1oV_STSDYn1IFDPWt_1FKiwhDph83XaGc0o0/edit?usp=sharing"",""งบพรบ!BX67"")"),0)</f>
        <v>0</v>
      </c>
      <c r="M157" s="90">
        <f ca="1">IFERROR(__xludf.DUMMYFUNCTION("IMPORTRANGE(""https://docs.google.com/spreadsheets/d/1MeEWN-I1oV_STSDYn1IFDPWt_1FKiwhDph83XaGc0o0/edit?usp=sharing"",""งบพรบ!CA67"")"),0)</f>
        <v>0</v>
      </c>
      <c r="N157" s="90">
        <f ca="1">IFERROR(__xludf.DUMMYFUNCTION("IMPORTRANGE(""https://docs.google.com/spreadsheets/d/1MeEWN-I1oV_STSDYn1IFDPWt_1FKiwhDph83XaGc0o0/edit?usp=sharing"",""งบพรบ!CC67"")"),0)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IFERROR(__xludf.DUMMYFUNCTION("IMPORTRANGE(""https://docs.google.com/spreadsheets/d/1QqKyyYR6Q21VydFLVH3TRQUabQu_ym0Zz7PgGX0-kHA/edit?usp=sharing"",""แผน!X67"")"),15)</f>
        <v>15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0</v>
      </c>
      <c r="O165" s="150">
        <f t="shared" ref="O165:O173" ca="1" si="85">IF(L165&gt;0,N165*100/L165,0)</f>
        <v>0</v>
      </c>
      <c r="P165" s="150">
        <f t="shared" ref="P165:P173" ca="1" si="86">IF(M165&gt;0,N165*100/M165,0)</f>
        <v>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0</v>
      </c>
      <c r="O167" s="90">
        <f t="shared" ca="1" si="85"/>
        <v>0</v>
      </c>
      <c r="P167" s="90">
        <f t="shared" ca="1" si="86"/>
        <v>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0</v>
      </c>
      <c r="O168" s="495">
        <f t="shared" ca="1" si="85"/>
        <v>0</v>
      </c>
      <c r="P168" s="495">
        <f t="shared" ca="1" si="86"/>
        <v>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IFERROR(__xludf.DUMMYFUNCTION("IMPORTRANGE(""https://docs.google.com/spreadsheets/d/1MeEWN-I1oV_STSDYn1IFDPWt_1FKiwhDph83XaGc0o0/edit?usp=sharing"",""งบพรบ!CE67"")"),21050)</f>
        <v>21050</v>
      </c>
      <c r="M170" s="90">
        <f ca="1">IFERROR(__xludf.DUMMYFUNCTION("IMPORTRANGE(""https://docs.google.com/spreadsheets/d/1MeEWN-I1oV_STSDYn1IFDPWt_1FKiwhDph83XaGc0o0/edit?usp=sharing"",""งบพรบ!CJ67"")"),21050)</f>
        <v>21050</v>
      </c>
      <c r="N170" s="90">
        <f ca="1">IFERROR(__xludf.DUMMYFUNCTION("IMPORTRANGE(""https://docs.google.com/spreadsheets/d/1MeEWN-I1oV_STSDYn1IFDPWt_1FKiwhDph83XaGc0o0/edit?usp=sharing"",""งบพรบ!CL67"")"),0)</f>
        <v>0</v>
      </c>
      <c r="O170" s="90">
        <f t="shared" ca="1" si="85"/>
        <v>0</v>
      </c>
      <c r="P170" s="90">
        <f t="shared" ca="1" si="86"/>
        <v>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IFERROR(__xludf.DUMMYFUNCTION("IMPORTRANGE(""https://docs.google.com/spreadsheets/d/1MeEWN-I1oV_STSDYn1IFDPWt_1FKiwhDph83XaGc0o0/edit?usp=sharing"",""งบพรบ!CH67"")"),0)</f>
        <v>0</v>
      </c>
      <c r="M173" s="90">
        <f ca="1">IFERROR(__xludf.DUMMYFUNCTION("IMPORTRANGE(""https://docs.google.com/spreadsheets/d/1MeEWN-I1oV_STSDYn1IFDPWt_1FKiwhDph83XaGc0o0/edit?usp=sharing"",""งบพรบ!CK67"")"),0)</f>
        <v>0</v>
      </c>
      <c r="N173" s="90">
        <f ca="1">IFERROR(__xludf.DUMMYFUNCTION("IMPORTRANGE(""https://docs.google.com/spreadsheets/d/1MeEWN-I1oV_STSDYn1IFDPWt_1FKiwhDph83XaGc0o0/edit?usp=sharing"",""งบพรบ!CM67"")"),0)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IFERROR(__xludf.DUMMYFUNCTION("IMPORTRANGE(""https://docs.google.com/spreadsheets/d/1QqKyyYR6Q21VydFLVH3TRQUabQu_ym0Zz7PgGX0-kHA/edit?usp=sharing"",""แผน!Y67"")"),10)</f>
        <v>10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53000</v>
      </c>
      <c r="M181" s="150">
        <f t="shared" ca="1" si="91"/>
        <v>30000</v>
      </c>
      <c r="N181" s="150">
        <f t="shared" ca="1" si="91"/>
        <v>0</v>
      </c>
      <c r="O181" s="150">
        <f t="shared" ref="O181:O189" ca="1" si="92">IF(L181&gt;0,N181*100/L181,0)</f>
        <v>0</v>
      </c>
      <c r="P181" s="150">
        <f t="shared" ref="P181:P189" ca="1" si="93">IF(M181&gt;0,N181*100/M181,0)</f>
        <v>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53000</v>
      </c>
      <c r="M183" s="90">
        <f t="shared" ca="1" si="94"/>
        <v>30000</v>
      </c>
      <c r="N183" s="90">
        <f t="shared" ca="1" si="94"/>
        <v>0</v>
      </c>
      <c r="O183" s="90">
        <f t="shared" ca="1" si="92"/>
        <v>0</v>
      </c>
      <c r="P183" s="90">
        <f t="shared" ca="1" si="93"/>
        <v>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53000</v>
      </c>
      <c r="M184" s="495">
        <f t="shared" ca="1" si="95"/>
        <v>30000</v>
      </c>
      <c r="N184" s="495">
        <f t="shared" ca="1" si="95"/>
        <v>0</v>
      </c>
      <c r="O184" s="495">
        <f t="shared" ca="1" si="92"/>
        <v>0</v>
      </c>
      <c r="P184" s="495">
        <f t="shared" ca="1" si="93"/>
        <v>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IFERROR(__xludf.DUMMYFUNCTION("IMPORTRANGE(""https://docs.google.com/spreadsheets/d/1MeEWN-I1oV_STSDYn1IFDPWt_1FKiwhDph83XaGc0o0/edit?usp=sharing"",""งบพรบ!CO67"")"),53000)</f>
        <v>53000</v>
      </c>
      <c r="M186" s="90">
        <f ca="1">IFERROR(__xludf.DUMMYFUNCTION("IMPORTRANGE(""https://docs.google.com/spreadsheets/d/1MeEWN-I1oV_STSDYn1IFDPWt_1FKiwhDph83XaGc0o0/edit?usp=sharing"",""งบพรบ!CT67"")"),30000)</f>
        <v>30000</v>
      </c>
      <c r="N186" s="90">
        <f ca="1">IFERROR(__xludf.DUMMYFUNCTION("IMPORTRANGE(""https://docs.google.com/spreadsheets/d/1MeEWN-I1oV_STSDYn1IFDPWt_1FKiwhDph83XaGc0o0/edit?usp=sharing"",""งบพรบ!CV67"")"),0)</f>
        <v>0</v>
      </c>
      <c r="O186" s="90">
        <f t="shared" ca="1" si="92"/>
        <v>0</v>
      </c>
      <c r="P186" s="90">
        <f t="shared" ca="1" si="93"/>
        <v>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IFERROR(__xludf.DUMMYFUNCTION("IMPORTRANGE(""https://docs.google.com/spreadsheets/d/1MeEWN-I1oV_STSDYn1IFDPWt_1FKiwhDph83XaGc0o0/edit?usp=sharing"",""งบพรบ!CR67"")"),0)</f>
        <v>0</v>
      </c>
      <c r="M189" s="90">
        <f ca="1">IFERROR(__xludf.DUMMYFUNCTION("IMPORTRANGE(""https://docs.google.com/spreadsheets/d/1MeEWN-I1oV_STSDYn1IFDPWt_1FKiwhDph83XaGc0o0/edit?usp=sharing"",""งบพรบ!CU67"")"),0)</f>
        <v>0</v>
      </c>
      <c r="N189" s="90">
        <f ca="1">IFERROR(__xludf.DUMMYFUNCTION("IMPORTRANGE(""https://docs.google.com/spreadsheets/d/1MeEWN-I1oV_STSDYn1IFDPWt_1FKiwhDph83XaGc0o0/edit?usp=sharing"",""งบพรบ!CW67"")"),0)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IFERROR(__xludf.DUMMYFUNCTION("IMPORTRANGE(""https://docs.google.com/spreadsheets/d/1QqKyyYR6Q21VydFLVH3TRQUabQu_ym0Zz7PgGX0-kHA/edit?usp=sharing"",""แผน!Z67"")"),6000)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IFERROR(__xludf.DUMMYFUNCTION("IMPORTRANGE(""https://docs.google.com/spreadsheets/d/1QqKyyYR6Q21VydFLVH3TRQUabQu_ym0Zz7PgGX0-kHA/edit?usp=sharing"",""แผน!AC67"")"),4)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3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39000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IFERROR(__xludf.DUMMYFUNCTION("IMPORTRANGE(""https://docs.google.com/spreadsheets/d/1QqKyyYR6Q21VydFLVH3TRQUabQu_ym0Zz7PgGX0-kHA/edit?usp=sharing"",""แผน!AE67"")"),3000)</f>
        <v>3000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IFERROR(__xludf.DUMMYFUNCTION("IMPORTRANGE(""https://docs.google.com/spreadsheets/d/1QqKyyYR6Q21VydFLVH3TRQUabQu_ym0Zz7PgGX0-kHA/edit?usp=sharing"",""แผน!AF67"")"),24000)</f>
        <v>24000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IFERROR(__xludf.DUMMYFUNCTION("IMPORTRANGE(""https://docs.google.com/spreadsheets/d/1QqKyyYR6Q21VydFLVH3TRQUabQu_ym0Zz7PgGX0-kHA/edit?usp=sharing"",""แผน!AG67"")"),12000)</f>
        <v>12000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IFERROR(__xludf.DUMMYFUNCTION("IMPORTRANGE(""https://docs.google.com/spreadsheets/d/1QqKyyYR6Q21VydFLVH3TRQUabQu_ym0Zz7PgGX0-kHA/edit?usp=sharing"",""แผน!AH67"")"),0)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IFERROR(__xludf.DUMMYFUNCTION("IMPORTRANGE(""https://docs.google.com/spreadsheets/d/1QqKyyYR6Q21VydFLVH3TRQUabQu_ym0Zz7PgGX0-kHA/edit?usp=sharing"",""แผน!AI67"")"),3)</f>
        <v>3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3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IFERROR(__xludf.DUMMYFUNCTION("IMPORTRANGE(""https://docs.google.com/spreadsheets/d/1QqKyyYR6Q21VydFLVH3TRQUabQu_ym0Zz7PgGX0-kHA/edit?usp=sharing"",""แผน!AK67"")"),0)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IFERROR(__xludf.DUMMYFUNCTION("IMPORTRANGE(""https://docs.google.com/spreadsheets/d/1QqKyyYR6Q21VydFLVH3TRQUabQu_ym0Zz7PgGX0-kHA/edit?usp=sharing"",""แผน!AL67"")"),0)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IFERROR(__xludf.DUMMYFUNCTION("IMPORTRANGE(""https://docs.google.com/spreadsheets/d/1QqKyyYR6Q21VydFLVH3TRQUabQu_ym0Zz7PgGX0-kHA/edit?usp=sharing"",""แผน!AM67"")"),0)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IFERROR(__xludf.DUMMYFUNCTION("IMPORTRANGE(""https://docs.google.com/spreadsheets/d/1QqKyyYR6Q21VydFLVH3TRQUabQu_ym0Zz7PgGX0-kHA/edit?usp=sharing"",""แผน!AN67"")"),0)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IFERROR(__xludf.DUMMYFUNCTION("IMPORTRANGE(""https://docs.google.com/spreadsheets/d/1QqKyyYR6Q21VydFLVH3TRQUabQu_ym0Zz7PgGX0-kHA/edit?usp=sharing"",""แผน!AN67"")"),0)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20000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8000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IFERROR(__xludf.DUMMYFUNCTION("IMPORTRANGE(""https://docs.google.com/spreadsheets/d/1QqKyyYR6Q21VydFLVH3TRQUabQu_ym0Zz7PgGX0-kHA/edit?usp=sharing"",""แผน!AP67"")"),3000)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IFERROR(__xludf.DUMMYFUNCTION("IMPORTRANGE(""https://docs.google.com/spreadsheets/d/1QqKyyYR6Q21VydFLVH3TRQUabQu_ym0Zz7PgGX0-kHA/edit?usp=sharing"",""แผน!AQ67"")"),5000)</f>
        <v>5000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IFERROR(__xludf.DUMMYFUNCTION("IMPORTRANGE(""https://docs.google.com/spreadsheets/d/1QqKyyYR6Q21VydFLVH3TRQUabQu_ym0Zz7PgGX0-kHA/edit?usp=sharing"",""แผน!AR67"")"),0)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IFERROR(__xludf.DUMMYFUNCTION("IMPORTRANGE(""https://docs.google.com/spreadsheets/d/1QqKyyYR6Q21VydFLVH3TRQUabQu_ym0Zz7PgGX0-kHA/edit?usp=sharing"",""แผน!AT67"")"),20000)</f>
        <v>20000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IFERROR(__xludf.DUMMYFUNCTION("IMPORTRANGE(""https://docs.google.com/spreadsheets/d/1QqKyyYR6Q21VydFLVH3TRQUabQu_ym0Zz7PgGX0-kHA/edit?usp=sharing"",""แผน!AT67"")"),20000)</f>
        <v>20000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IFERROR(__xludf.DUMMYFUNCTION("IMPORTRANGE(""https://docs.google.com/spreadsheets/d/1QqKyyYR6Q21VydFLVH3TRQUabQu_ym0Zz7PgGX0-kHA/edit?usp=sharing"",""แผน!AS67"")"),0)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0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IFERROR(__xludf.DUMMYFUNCTION("IMPORTRANGE(""https://docs.google.com/spreadsheets/d/1QqKyyYR6Q21VydFLVH3TRQUabQu_ym0Zz7PgGX0-kHA/edit?usp=sharing"",""แผน!AV67"")"),0)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IFERROR(__xludf.DUMMYFUNCTION("IMPORTRANGE(""https://docs.google.com/spreadsheets/d/1QqKyyYR6Q21VydFLVH3TRQUabQu_ym0Zz7PgGX0-kHA/edit?usp=sharing"",""แผน!AW67"")"),0)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IFERROR(__xludf.DUMMYFUNCTION("IMPORTRANGE(""https://docs.google.com/spreadsheets/d/1QqKyyYR6Q21VydFLVH3TRQUabQu_ym0Zz7PgGX0-kHA/edit?usp=sharing"",""แผน!AX67"")"),0)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IFERROR(__xludf.DUMMYFUNCTION("IMPORTRANGE(""https://docs.google.com/spreadsheets/d/1QqKyyYR6Q21VydFLVH3TRQUabQu_ym0Zz7PgGX0-kHA/edit?usp=sharing"",""แผน!AY67"")"),0)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IFERROR(__xludf.DUMMYFUNCTION("IMPORTRANGE(""https://docs.google.com/spreadsheets/d/1QqKyyYR6Q21VydFLVH3TRQUabQu_ym0Zz7PgGX0-kHA/edit?usp=sharing"",""แผน!BE67"")"),0)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IFERROR(__xludf.DUMMYFUNCTION("IMPORTRANGE(""https://docs.google.com/spreadsheets/d/1QqKyyYR6Q21VydFLVH3TRQUabQu_ym0Zz7PgGX0-kHA/edit?usp=sharing"",""แผน!AZ67"")"),0)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IFERROR(__xludf.DUMMYFUNCTION("IMPORTRANGE(""https://docs.google.com/spreadsheets/d/1QqKyyYR6Q21VydFLVH3TRQUabQu_ym0Zz7PgGX0-kHA/edit?usp=sharing"",""แผน!BA67"")"),0)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IFERROR(__xludf.DUMMYFUNCTION("IMPORTRANGE(""https://docs.google.com/spreadsheets/d/1QqKyyYR6Q21VydFLVH3TRQUabQu_ym0Zz7PgGX0-kHA/edit?usp=sharing"",""แผน!BB67"")"),0)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IFERROR(__xludf.DUMMYFUNCTION("IMPORTRANGE(""https://docs.google.com/spreadsheets/d/1QqKyyYR6Q21VydFLVH3TRQUabQu_ym0Zz7PgGX0-kHA/edit?usp=sharing"",""แผน!BC67"")"),0)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IFERROR(__xludf.DUMMYFUNCTION("IMPORTRANGE(""https://docs.google.com/spreadsheets/d/1QqKyyYR6Q21VydFLVH3TRQUabQu_ym0Zz7PgGX0-kHA/edit?usp=sharing"",""แผน!BF67"")"),"")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IFERROR(__xludf.DUMMYFUNCTION("IMPORTRANGE(""https://docs.google.com/spreadsheets/d/1MeEWN-I1oV_STSDYn1IFDPWt_1FKiwhDph83XaGc0o0/edit?usp=sharing"",""งบพรบ!CY67"")"),26900)</f>
        <v>26900</v>
      </c>
      <c r="M266" s="90">
        <f ca="1">IFERROR(__xludf.DUMMYFUNCTION("IMPORTRANGE(""https://docs.google.com/spreadsheets/d/1MeEWN-I1oV_STSDYn1IFDPWt_1FKiwhDph83XaGc0o0/edit?usp=sharing"",""งบพรบ!DD67"")"),0)</f>
        <v>0</v>
      </c>
      <c r="N266" s="90">
        <f ca="1">IFERROR(__xludf.DUMMYFUNCTION("IMPORTRANGE(""https://docs.google.com/spreadsheets/d/1MeEWN-I1oV_STSDYn1IFDPWt_1FKiwhDph83XaGc0o0/edit?usp=sharing"",""งบพรบ!DF67"")"),0)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IFERROR(__xludf.DUMMYFUNCTION("IMPORTRANGE(""https://docs.google.com/spreadsheets/d/1MeEWN-I1oV_STSDYn1IFDPWt_1FKiwhDph83XaGc0o0/edit?usp=sharing"",""งบพรบ!DB67"")"),0)</f>
        <v>0</v>
      </c>
      <c r="M269" s="90">
        <f ca="1">IFERROR(__xludf.DUMMYFUNCTION("IMPORTRANGE(""https://docs.google.com/spreadsheets/d/1MeEWN-I1oV_STSDYn1IFDPWt_1FKiwhDph83XaGc0o0/edit?usp=sharing"",""งบพรบ!DE67"")"),0)</f>
        <v>0</v>
      </c>
      <c r="N269" s="90">
        <f ca="1">IFERROR(__xludf.DUMMYFUNCTION("IMPORTRANGE(""https://docs.google.com/spreadsheets/d/1MeEWN-I1oV_STSDYn1IFDPWt_1FKiwhDph83XaGc0o0/edit?usp=sharing"",""งบพรบ!DG67"")"),0)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IFERROR(__xludf.DUMMYFUNCTION("IMPORTRANGE(""https://docs.google.com/spreadsheets/d/1QqKyyYR6Q21VydFLVH3TRQUabQu_ym0Zz7PgGX0-kHA/edit?usp=sharing"",""แผน!EA67"")"),22)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10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100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191010</v>
      </c>
      <c r="M277" s="151">
        <f t="shared" ca="1" si="124"/>
        <v>91820</v>
      </c>
      <c r="N277" s="151">
        <f t="shared" ca="1" si="124"/>
        <v>71729.440000000002</v>
      </c>
      <c r="O277" s="151">
        <f t="shared" ref="O277:O285" ca="1" si="125">IF(L277&gt;0,N277*100/L277,0)</f>
        <v>37.552714517564524</v>
      </c>
      <c r="P277" s="151">
        <f t="shared" ref="P277:P285" ca="1" si="126">IF(M277&gt;0,N277*100/M277,0)</f>
        <v>78.119625353953381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191010</v>
      </c>
      <c r="M279" s="90">
        <f t="shared" ca="1" si="127"/>
        <v>91820</v>
      </c>
      <c r="N279" s="90">
        <f t="shared" ca="1" si="127"/>
        <v>71729.440000000002</v>
      </c>
      <c r="O279" s="90">
        <f t="shared" ca="1" si="125"/>
        <v>37.552714517564524</v>
      </c>
      <c r="P279" s="90">
        <f t="shared" ca="1" si="126"/>
        <v>78.119625353953381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191010</v>
      </c>
      <c r="M280" s="495">
        <f t="shared" ca="1" si="128"/>
        <v>91820</v>
      </c>
      <c r="N280" s="495">
        <f t="shared" ca="1" si="128"/>
        <v>71729.440000000002</v>
      </c>
      <c r="O280" s="495">
        <f t="shared" ca="1" si="125"/>
        <v>37.552714517564524</v>
      </c>
      <c r="P280" s="495">
        <f t="shared" ca="1" si="126"/>
        <v>78.119625353953381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IFERROR(__xludf.DUMMYFUNCTION("IMPORTRANGE(""https://docs.google.com/spreadsheets/d/1MeEWN-I1oV_STSDYn1IFDPWt_1FKiwhDph83XaGc0o0/edit?usp=sharing"",""งบพรบ!DI67"")"),191010)</f>
        <v>191010</v>
      </c>
      <c r="M282" s="90">
        <f ca="1">IFERROR(__xludf.DUMMYFUNCTION("IMPORTRANGE(""https://docs.google.com/spreadsheets/d/1MeEWN-I1oV_STSDYn1IFDPWt_1FKiwhDph83XaGc0o0/edit?usp=sharing"",""งบพรบ!DN67"")"),91820)</f>
        <v>91820</v>
      </c>
      <c r="N282" s="90">
        <f ca="1">IFERROR(__xludf.DUMMYFUNCTION("IMPORTRANGE(""https://docs.google.com/spreadsheets/d/1MeEWN-I1oV_STSDYn1IFDPWt_1FKiwhDph83XaGc0o0/edit?usp=sharing"",""งบพรบ!DP67"")"),71729.44)</f>
        <v>71729.440000000002</v>
      </c>
      <c r="O282" s="90">
        <f t="shared" ca="1" si="125"/>
        <v>37.552714517564524</v>
      </c>
      <c r="P282" s="90">
        <f t="shared" ca="1" si="126"/>
        <v>78.119625353953381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IFERROR(__xludf.DUMMYFUNCTION("IMPORTRANGE(""https://docs.google.com/spreadsheets/d/1MeEWN-I1oV_STSDYn1IFDPWt_1FKiwhDph83XaGc0o0/edit?usp=sharing"",""งบพรบ!DL67"")"),0)</f>
        <v>0</v>
      </c>
      <c r="M285" s="90">
        <f ca="1">IFERROR(__xludf.DUMMYFUNCTION("IMPORTRANGE(""https://docs.google.com/spreadsheets/d/1MeEWN-I1oV_STSDYn1IFDPWt_1FKiwhDph83XaGc0o0/edit?usp=sharing"",""งบพรบ!DO67"")"),0)</f>
        <v>0</v>
      </c>
      <c r="N285" s="90">
        <f ca="1">IFERROR(__xludf.DUMMYFUNCTION("IMPORTRANGE(""https://docs.google.com/spreadsheets/d/1MeEWN-I1oV_STSDYn1IFDPWt_1FKiwhDph83XaGc0o0/edit?usp=sharing"",""งบพรบ!DQ67"")"),0)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IFERROR(__xludf.DUMMYFUNCTION("IMPORTRANGE(""https://docs.google.com/spreadsheets/d/1QqKyyYR6Q21VydFLVH3TRQUabQu_ym0Zz7PgGX0-kHA/edit?usp=sharing"",""แผน!EC67"")"),100)</f>
        <v>100</v>
      </c>
      <c r="J287" s="210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IFERROR(__xludf.DUMMYFUNCTION("IMPORTRANGE(""https://docs.google.com/spreadsheets/d/1QqKyyYR6Q21VydFLVH3TRQUabQu_ym0Zz7PgGX0-kHA/edit?usp=sharing"",""แผน!EB67"")"),10)</f>
        <v>10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IFERROR(__xludf.DUMMYFUNCTION("IMPORTRANGE(""https://docs.google.com/spreadsheets/d/1QqKyyYR6Q21VydFLVH3TRQUabQu_ym0Zz7PgGX0-kHA/edit?usp=sharing"",""แผน!EB67"")"),10)</f>
        <v>10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>
      <c r="A291" s="166"/>
      <c r="B291" s="167"/>
      <c r="C291" s="167"/>
      <c r="D291" s="174"/>
      <c r="E291" s="618" t="s">
        <v>133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IFERROR(__xludf.DUMMYFUNCTION("IMPORTRANGE(""https://docs.google.com/spreadsheets/d/1QqKyyYR6Q21VydFLVH3TRQUabQu_ym0Zz7PgGX0-kHA/edit?usp=sharing"",""แผน!EB67"")"),10)</f>
        <v>10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IFERROR(__xludf.DUMMYFUNCTION("IMPORTRANGE(""https://docs.google.com/spreadsheets/d/1QqKyyYR6Q21VydFLVH3TRQUabQu_ym0Zz7PgGX0-kHA/edit?usp=sharing"",""แผน!EB67"")"),10)</f>
        <v>10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>
      <c r="A294" s="375"/>
      <c r="B294" s="376"/>
      <c r="C294" s="376"/>
      <c r="D294" s="378"/>
      <c r="E294" s="724" t="s">
        <v>136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IFERROR(__xludf.DUMMYFUNCTION("IMPORTRANGE(""https://docs.google.com/spreadsheets/d/1QqKyyYR6Q21VydFLVH3TRQUabQu_ym0Zz7PgGX0-kHA/edit?usp=sharing"",""แผน!EB67"")"),10)</f>
        <v>10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15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206800</v>
      </c>
      <c r="M298" s="151">
        <f t="shared" ca="1" si="134"/>
        <v>102840</v>
      </c>
      <c r="N298" s="151">
        <f t="shared" ca="1" si="134"/>
        <v>30580</v>
      </c>
      <c r="O298" s="151">
        <f t="shared" ref="O298:O306" ca="1" si="135">IF(L298&gt;0,N298*100/L298,0)</f>
        <v>14.787234042553191</v>
      </c>
      <c r="P298" s="151">
        <f t="shared" ref="P298:P306" ca="1" si="136">IF(M298&gt;0,N298*100/M298,0)</f>
        <v>29.735511474134579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206800</v>
      </c>
      <c r="M300" s="90">
        <f t="shared" ca="1" si="137"/>
        <v>102840</v>
      </c>
      <c r="N300" s="90">
        <f t="shared" ca="1" si="137"/>
        <v>30580</v>
      </c>
      <c r="O300" s="90">
        <f t="shared" ca="1" si="135"/>
        <v>14.787234042553191</v>
      </c>
      <c r="P300" s="90">
        <f t="shared" ca="1" si="136"/>
        <v>29.735511474134579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206800</v>
      </c>
      <c r="M301" s="495">
        <f t="shared" ca="1" si="138"/>
        <v>102840</v>
      </c>
      <c r="N301" s="495">
        <f t="shared" ca="1" si="138"/>
        <v>30580</v>
      </c>
      <c r="O301" s="495">
        <f t="shared" ca="1" si="135"/>
        <v>14.787234042553191</v>
      </c>
      <c r="P301" s="495">
        <f t="shared" ca="1" si="136"/>
        <v>29.735511474134579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IFERROR(__xludf.DUMMYFUNCTION("IMPORTRANGE(""https://docs.google.com/spreadsheets/d/1MeEWN-I1oV_STSDYn1IFDPWt_1FKiwhDph83XaGc0o0/edit?usp=sharing"",""งบพรบ!DS67"")"),206800)</f>
        <v>206800</v>
      </c>
      <c r="M303" s="90">
        <f ca="1">IFERROR(__xludf.DUMMYFUNCTION("IMPORTRANGE(""https://docs.google.com/spreadsheets/d/1MeEWN-I1oV_STSDYn1IFDPWt_1FKiwhDph83XaGc0o0/edit?usp=sharing"",""งบพรบ!DX67"")"),102840)</f>
        <v>102840</v>
      </c>
      <c r="N303" s="90">
        <f ca="1">IFERROR(__xludf.DUMMYFUNCTION("IMPORTRANGE(""https://docs.google.com/spreadsheets/d/1MeEWN-I1oV_STSDYn1IFDPWt_1FKiwhDph83XaGc0o0/edit?usp=sharing"",""งบพรบ!DZ67"")"),30580)</f>
        <v>30580</v>
      </c>
      <c r="O303" s="90">
        <f t="shared" ca="1" si="135"/>
        <v>14.787234042553191</v>
      </c>
      <c r="P303" s="90">
        <f t="shared" ca="1" si="136"/>
        <v>29.735511474134579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IFERROR(__xludf.DUMMYFUNCTION("IMPORTRANGE(""https://docs.google.com/spreadsheets/d/1MeEWN-I1oV_STSDYn1IFDPWt_1FKiwhDph83XaGc0o0/edit?usp=sharing"",""งบพรบ!DV67"")"),0)</f>
        <v>0</v>
      </c>
      <c r="M306" s="90">
        <f ca="1">IFERROR(__xludf.DUMMYFUNCTION("IMPORTRANGE(""https://docs.google.com/spreadsheets/d/1MeEWN-I1oV_STSDYn1IFDPWt_1FKiwhDph83XaGc0o0/edit?usp=sharing"",""งบพรบ!DY67"")"),0)</f>
        <v>0</v>
      </c>
      <c r="N306" s="90">
        <f ca="1">IFERROR(__xludf.DUMMYFUNCTION("IMPORTRANGE(""https://docs.google.com/spreadsheets/d/1MeEWN-I1oV_STSDYn1IFDPWt_1FKiwhDph83XaGc0o0/edit?usp=sharing"",""งบพรบ!EA67"")"),0)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IFERROR(__xludf.DUMMYFUNCTION("IMPORTRANGE(""https://docs.google.com/spreadsheets/d/1QqKyyYR6Q21VydFLVH3TRQUabQu_ym0Zz7PgGX0-kHA/edit?usp=sharing"",""แผน!ED67"")"),15)</f>
        <v>15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IFERROR(__xludf.DUMMYFUNCTION("IMPORTRANGE(""https://docs.google.com/spreadsheets/d/1QqKyyYR6Q21VydFLVH3TRQUabQu_ym0Zz7PgGX0-kHA/edit?usp=sharing"",""แผน!ED67"")"),15)</f>
        <v>15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IFERROR(__xludf.DUMMYFUNCTION("IMPORTRANGE(""https://docs.google.com/spreadsheets/d/1QqKyyYR6Q21VydFLVH3TRQUabQu_ym0Zz7PgGX0-kHA/edit?usp=sharing"",""แผน!ED67"")"),15)</f>
        <v>15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IFERROR(__xludf.DUMMYFUNCTION("IMPORTRANGE(""https://docs.google.com/spreadsheets/d/1QqKyyYR6Q21VydFLVH3TRQUabQu_ym0Zz7PgGX0-kHA/edit?usp=sharing"",""แผน!EE67"")"),3)</f>
        <v>3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IFERROR(__xludf.DUMMYFUNCTION("IMPORTRANGE(""https://docs.google.com/spreadsheets/d/1MeEWN-I1oV_STSDYn1IFDPWt_1FKiwhDph83XaGc0o0/edit?usp=sharing"",""งบพรบ!EC67"")"),0)</f>
        <v>0</v>
      </c>
      <c r="M320" s="90">
        <f ca="1">IFERROR(__xludf.DUMMYFUNCTION("IMPORTRANGE(""https://docs.google.com/spreadsheets/d/1MeEWN-I1oV_STSDYn1IFDPWt_1FKiwhDph83XaGc0o0/edit?usp=sharing"",""งบพรบ!EH67"")"),0)</f>
        <v>0</v>
      </c>
      <c r="N320" s="90">
        <f ca="1">IFERROR(__xludf.DUMMYFUNCTION("IMPORTRANGE(""https://docs.google.com/spreadsheets/d/1MeEWN-I1oV_STSDYn1IFDPWt_1FKiwhDph83XaGc0o0/edit?usp=sharing"",""งบพรบ!EJ67"")"),0)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IFERROR(__xludf.DUMMYFUNCTION("IMPORTRANGE(""https://docs.google.com/spreadsheets/d/1MeEWN-I1oV_STSDYn1IFDPWt_1FKiwhDph83XaGc0o0/edit?usp=sharing"",""งบพรบ!EF67"")"),0)</f>
        <v>0</v>
      </c>
      <c r="M323" s="90">
        <f ca="1">IFERROR(__xludf.DUMMYFUNCTION("IMPORTRANGE(""https://docs.google.com/spreadsheets/d/1MeEWN-I1oV_STSDYn1IFDPWt_1FKiwhDph83XaGc0o0/edit?usp=sharing"",""งบพรบ!EI67"")"),0)</f>
        <v>0</v>
      </c>
      <c r="N323" s="90">
        <f ca="1">IFERROR(__xludf.DUMMYFUNCTION("IMPORTRANGE(""https://docs.google.com/spreadsheets/d/1MeEWN-I1oV_STSDYn1IFDPWt_1FKiwhDph83XaGc0o0/edit?usp=sharing"",""งบพรบ!EK67"")"),0)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IFERROR(__xludf.DUMMYFUNCTION("IMPORTRANGE(""https://docs.google.com/spreadsheets/d/1QqKyyYR6Q21VydFLVH3TRQUabQu_ym0Zz7PgGX0-kHA/edit?usp=sharing"",""แผน!EF67"")"),0)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IFERROR(__xludf.DUMMYFUNCTION("IMPORTRANGE(""https://docs.google.com/spreadsheets/d/1QqKyyYR6Q21VydFLVH3TRQUabQu_ym0Zz7PgGX0-kHA/edit?usp=sharing"",""แผน!EG67"")"),1600)</f>
        <v>1600</v>
      </c>
      <c r="J327" s="442">
        <f ca="1">J338+J341+J342+J343</f>
        <v>673</v>
      </c>
      <c r="K327" s="443">
        <f ca="1">IF(I327&gt;0,J327*100/I327,0)</f>
        <v>42.0625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687200</v>
      </c>
      <c r="M328" s="151">
        <f t="shared" ca="1" si="148"/>
        <v>343600</v>
      </c>
      <c r="N328" s="151">
        <f t="shared" ca="1" si="148"/>
        <v>146206.56</v>
      </c>
      <c r="O328" s="151">
        <f t="shared" ref="O328:O336" ca="1" si="149">IF(L328&gt;0,N328*100/L328,0)</f>
        <v>21.275692665890571</v>
      </c>
      <c r="P328" s="151">
        <f t="shared" ref="P328:P336" ca="1" si="150">IF(M328&gt;0,N328*100/M328,0)</f>
        <v>42.551385331781141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687200</v>
      </c>
      <c r="M330" s="90">
        <f t="shared" ca="1" si="151"/>
        <v>343600</v>
      </c>
      <c r="N330" s="90">
        <f t="shared" ca="1" si="151"/>
        <v>146206.56</v>
      </c>
      <c r="O330" s="90">
        <f t="shared" ca="1" si="149"/>
        <v>21.275692665890571</v>
      </c>
      <c r="P330" s="90">
        <f t="shared" ca="1" si="150"/>
        <v>42.551385331781141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687200</v>
      </c>
      <c r="M331" s="495">
        <f t="shared" ca="1" si="152"/>
        <v>343600</v>
      </c>
      <c r="N331" s="495">
        <f t="shared" ca="1" si="152"/>
        <v>146206.56</v>
      </c>
      <c r="O331" s="495">
        <f t="shared" ca="1" si="149"/>
        <v>21.275692665890571</v>
      </c>
      <c r="P331" s="495">
        <f t="shared" ca="1" si="150"/>
        <v>42.551385331781141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IFERROR(__xludf.DUMMYFUNCTION("IMPORTRANGE(""https://docs.google.com/spreadsheets/d/1MeEWN-I1oV_STSDYn1IFDPWt_1FKiwhDph83XaGc0o0/edit?usp=sharing"",""งบพรบ!EM67"")"),687200)</f>
        <v>687200</v>
      </c>
      <c r="M333" s="90">
        <f ca="1">IFERROR(__xludf.DUMMYFUNCTION("IMPORTRANGE(""https://docs.google.com/spreadsheets/d/1MeEWN-I1oV_STSDYn1IFDPWt_1FKiwhDph83XaGc0o0/edit?usp=sharing"",""งบพรบ!ER67"")"),343600)</f>
        <v>343600</v>
      </c>
      <c r="N333" s="90">
        <f ca="1">IFERROR(__xludf.DUMMYFUNCTION("IMPORTRANGE(""https://docs.google.com/spreadsheets/d/1MeEWN-I1oV_STSDYn1IFDPWt_1FKiwhDph83XaGc0o0/edit?usp=sharing"",""งบพรบ!ET67"")"),146206.56)</f>
        <v>146206.56</v>
      </c>
      <c r="O333" s="90">
        <f t="shared" ca="1" si="149"/>
        <v>21.275692665890571</v>
      </c>
      <c r="P333" s="90">
        <f t="shared" ca="1" si="150"/>
        <v>42.551385331781141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IFERROR(__xludf.DUMMYFUNCTION("IMPORTRANGE(""https://docs.google.com/spreadsheets/d/1MeEWN-I1oV_STSDYn1IFDPWt_1FKiwhDph83XaGc0o0/edit?usp=sharing"",""งบพรบ!EP67"")"),0)</f>
        <v>0</v>
      </c>
      <c r="M336" s="90">
        <f ca="1">IFERROR(__xludf.DUMMYFUNCTION("IMPORTRANGE(""https://docs.google.com/spreadsheets/d/1MeEWN-I1oV_STSDYn1IFDPWt_1FKiwhDph83XaGc0o0/edit?usp=sharing"",""งบพรบ!ES67"")"),0)</f>
        <v>0</v>
      </c>
      <c r="N336" s="90">
        <f ca="1">IFERROR(__xludf.DUMMYFUNCTION("IMPORTRANGE(""https://docs.google.com/spreadsheets/d/1MeEWN-I1oV_STSDYn1IFDPWt_1FKiwhDph83XaGc0o0/edit?usp=sharing"",""งบพรบ!EU67"")"),0)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IFERROR(__xludf.DUMMYFUNCTION("IMPORTRANGE(""https://docs.google.com/spreadsheets/d/1QqKyyYR6Q21VydFLVH3TRQUabQu_ym0Zz7PgGX0-kHA/edit?usp=sharing"",""แผน!EG67"")"),1600)</f>
        <v>1600</v>
      </c>
      <c r="J338" s="264">
        <f ca="1">IFERROR(__xludf.DUMMYFUNCTION("IMPORTRANGE(""https://docs.google.com/spreadsheets/d/1kVcqe37tkHyjCSG3S0O1AXqVkqjo8mSIZil3BcpIysc/edit?usp=sharing"",""ศูนย์!D67"")"),672)</f>
        <v>672</v>
      </c>
      <c r="K338" s="495">
        <f ca="1">IF(I338&gt;0,J338*100/I338,0)</f>
        <v>42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IFERROR(__xludf.DUMMYFUNCTION("IMPORTRANGE(""https://docs.google.com/spreadsheets/d/1QqKyyYR6Q21VydFLVH3TRQUabQu_ym0Zz7PgGX0-kHA/edit?usp=sharing"",""แผน!EH67"")"),6)</f>
        <v>6</v>
      </c>
      <c r="J340" s="264">
        <f ca="1">IFERROR(__xludf.DUMMYFUNCTION("IMPORTRANGE(""https://docs.google.com/spreadsheets/d/1kVcqe37tkHyjCSG3S0O1AXqVkqjo8mSIZil3BcpIysc/edit?usp=sharing"",""ศูนย์!E67"")"),0)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IFERROR(__xludf.DUMMYFUNCTION("IMPORTRANGE(""https://docs.google.com/spreadsheets/d/1kVcqe37tkHyjCSG3S0O1AXqVkqjo8mSIZil3BcpIysc/edit?usp=sharing"",""ศูนย์!F67"")"),0)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IFERROR(__xludf.DUMMYFUNCTION("IMPORTRANGE(""https://docs.google.com/spreadsheets/d/1kVcqe37tkHyjCSG3S0O1AXqVkqjo8mSIZil3BcpIysc/edit?usp=sharing"",""ศูนย์!G67"")"),1)</f>
        <v>1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IFERROR(__xludf.DUMMYFUNCTION("IMPORTRANGE(""https://docs.google.com/spreadsheets/d/1kVcqe37tkHyjCSG3S0O1AXqVkqjo8mSIZil3BcpIysc/edit?usp=sharing"",""ศูนย์!H67"")"),0)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372250</v>
      </c>
      <c r="M345" s="151">
        <f t="shared" ca="1" si="154"/>
        <v>193630</v>
      </c>
      <c r="N345" s="151">
        <f t="shared" ca="1" si="154"/>
        <v>94021.119999999995</v>
      </c>
      <c r="O345" s="151">
        <f t="shared" ref="O345:O353" ca="1" si="155">IF(L345&gt;0,N345*100/L345,0)</f>
        <v>25.257520483546003</v>
      </c>
      <c r="P345" s="151">
        <f t="shared" ref="P345:P353" ca="1" si="156">IF(M345&gt;0,N345*100/M345,0)</f>
        <v>48.557103754583487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372250</v>
      </c>
      <c r="M347" s="90">
        <f t="shared" ca="1" si="157"/>
        <v>193630</v>
      </c>
      <c r="N347" s="90">
        <f t="shared" ca="1" si="157"/>
        <v>94021.119999999995</v>
      </c>
      <c r="O347" s="90">
        <f t="shared" ca="1" si="155"/>
        <v>25.257520483546003</v>
      </c>
      <c r="P347" s="90">
        <f t="shared" ca="1" si="156"/>
        <v>48.557103754583487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357250</v>
      </c>
      <c r="M348" s="495">
        <f t="shared" ca="1" si="158"/>
        <v>178630</v>
      </c>
      <c r="N348" s="495">
        <f t="shared" ca="1" si="158"/>
        <v>79021.119999999995</v>
      </c>
      <c r="O348" s="495">
        <f t="shared" ca="1" si="155"/>
        <v>22.119277816655003</v>
      </c>
      <c r="P348" s="495">
        <f t="shared" ca="1" si="156"/>
        <v>44.237317359905951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IFERROR(__xludf.DUMMYFUNCTION("IMPORTRANGE(""https://docs.google.com/spreadsheets/d/1MeEWN-I1oV_STSDYn1IFDPWt_1FKiwhDph83XaGc0o0/edit?usp=sharing"",""งบพรบ!EW67"")"),357250)</f>
        <v>357250</v>
      </c>
      <c r="M350" s="90">
        <f ca="1">IFERROR(__xludf.DUMMYFUNCTION("IMPORTRANGE(""https://docs.google.com/spreadsheets/d/1MeEWN-I1oV_STSDYn1IFDPWt_1FKiwhDph83XaGc0o0/edit?usp=sharing"",""งบพรบ!FB67"")"),178630)</f>
        <v>178630</v>
      </c>
      <c r="N350" s="90">
        <f ca="1">IFERROR(__xludf.DUMMYFUNCTION("IMPORTRANGE(""https://docs.google.com/spreadsheets/d/1MeEWN-I1oV_STSDYn1IFDPWt_1FKiwhDph83XaGc0o0/edit?usp=sharing"",""งบพรบ!FD67"")"),79021.12)</f>
        <v>79021.119999999995</v>
      </c>
      <c r="O350" s="90">
        <f t="shared" ca="1" si="155"/>
        <v>22.119277816655003</v>
      </c>
      <c r="P350" s="90">
        <f t="shared" ca="1" si="156"/>
        <v>44.237317359905951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15000</v>
      </c>
      <c r="M351" s="495">
        <f t="shared" ca="1" si="159"/>
        <v>15000</v>
      </c>
      <c r="N351" s="495">
        <f t="shared" ca="1" si="159"/>
        <v>15000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IFERROR(__xludf.DUMMYFUNCTION("IMPORTRANGE(""https://docs.google.com/spreadsheets/d/1MeEWN-I1oV_STSDYn1IFDPWt_1FKiwhDph83XaGc0o0/edit?usp=sharing"",""งบพรบ!EZ67"")"),15000)</f>
        <v>15000</v>
      </c>
      <c r="M353" s="90">
        <f ca="1">IFERROR(__xludf.DUMMYFUNCTION("IMPORTRANGE(""https://docs.google.com/spreadsheets/d/1MeEWN-I1oV_STSDYn1IFDPWt_1FKiwhDph83XaGc0o0/edit?usp=sharing"",""งบพรบ!FC67"")"),15000)</f>
        <v>15000</v>
      </c>
      <c r="N353" s="90">
        <f ca="1">IFERROR(__xludf.DUMMYFUNCTION("IMPORTRANGE(""https://docs.google.com/spreadsheets/d/1MeEWN-I1oV_STSDYn1IFDPWt_1FKiwhDph83XaGc0o0/edit?usp=sharing"",""งบพรบ!FE67"")"),15000)</f>
        <v>15000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IFERROR(__xludf.DUMMYFUNCTION("IMPORTRANGE(""https://docs.google.com/spreadsheets/d/1QqKyyYR6Q21VydFLVH3TRQUabQu_ym0Zz7PgGX0-kHA/edit?usp=sharing"",""แผน!EP67"")"),145)</f>
        <v>145</v>
      </c>
      <c r="J355" s="462">
        <f ca="1">J362</f>
        <v>3</v>
      </c>
      <c r="K355" s="463">
        <f ca="1">IF(I355&gt;0,J355*100/I355,0)</f>
        <v>2.0689655172413794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IFERROR(__xludf.DUMMYFUNCTION("IMPORTRANGE(""https://docs.google.com/spreadsheets/d/1XWAQStnk-4SwqDmLtmXYiTMKHgktTP8We1SCoS47DrQ/edit?usp=sharing"",""จัดที่ดิน!W67"")"),0)</f>
        <v>0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IFERROR(__xludf.DUMMYFUNCTION("IMPORTRANGE(""https://docs.google.com/spreadsheets/d/1QqKyyYR6Q21VydFLVH3TRQUabQu_ym0Zz7PgGX0-kHA/edit?usp=sharing"",""แผน!EO67"")"),1750)</f>
        <v>1750</v>
      </c>
      <c r="J359" s="264">
        <f ca="1">IFERROR(__xludf.DUMMYFUNCTION("IMPORTRANGE(""https://docs.google.com/spreadsheets/d/1XWAQStnk-4SwqDmLtmXYiTMKHgktTP8We1SCoS47DrQ/edit?usp=sharing"",""จัดที่ดิน!X67"")"),0)</f>
        <v>0</v>
      </c>
      <c r="K359" s="495">
        <f t="shared" ca="1" si="160"/>
        <v>0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IFERROR(__xludf.DUMMYFUNCTION("IMPORTRANGE(""https://docs.google.com/spreadsheets/d/1QqKyyYR6Q21VydFLVH3TRQUabQu_ym0Zz7PgGX0-kHA/edit?usp=sharing"",""แผน!EP67"")"),145)</f>
        <v>145</v>
      </c>
      <c r="J360" s="264">
        <f ca="1">IFERROR(__xludf.DUMMYFUNCTION("IMPORTRANGE(""https://docs.google.com/spreadsheets/d/1XWAQStnk-4SwqDmLtmXYiTMKHgktTP8We1SCoS47DrQ/edit?usp=sharing"",""จัดที่ดิน!Y67"")"),2)</f>
        <v>2</v>
      </c>
      <c r="K360" s="495">
        <f t="shared" ca="1" si="160"/>
        <v>1.3793103448275863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IFERROR(__xludf.DUMMYFUNCTION("IMPORTRANGE(""https://docs.google.com/spreadsheets/d/1XWAQStnk-4SwqDmLtmXYiTMKHgktTP8We1SCoS47DrQ/edit?usp=sharing"",""จัดที่ดิน!Z67"")"),36.35)</f>
        <v>36.35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IFERROR(__xludf.DUMMYFUNCTION("IMPORTRANGE(""https://docs.google.com/spreadsheets/d/1QqKyyYR6Q21VydFLVH3TRQUabQu_ym0Zz7PgGX0-kHA/edit?usp=sharing"",""แผน!EP67"")"),145)</f>
        <v>145</v>
      </c>
      <c r="J362" s="264">
        <f ca="1">IFERROR(__xludf.DUMMYFUNCTION("IMPORTRANGE(""https://docs.google.com/spreadsheets/d/1XWAQStnk-4SwqDmLtmXYiTMKHgktTP8We1SCoS47DrQ/edit?usp=sharing"",""จัดที่ดิน!AA67"")"),3)</f>
        <v>3</v>
      </c>
      <c r="K362" s="495">
        <f t="shared" ca="1" si="160"/>
        <v>2.0689655172413794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IFERROR(__xludf.DUMMYFUNCTION("IMPORTRANGE(""https://docs.google.com/spreadsheets/d/1XWAQStnk-4SwqDmLtmXYiTMKHgktTP8We1SCoS47DrQ/edit?usp=sharing"",""จัดที่ดิน!AB67"")"),41.35)</f>
        <v>41.35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295</v>
      </c>
      <c r="J364" s="476">
        <f t="shared" ca="1" si="161"/>
        <v>28</v>
      </c>
      <c r="K364" s="477">
        <f t="shared" ca="1" si="160"/>
        <v>9.4915254237288131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IFERROR(__xludf.DUMMYFUNCTION("IMPORTRANGE(""https://docs.google.com/spreadsheets/d/1QqKyyYR6Q21VydFLVH3TRQUabQu_ym0Zz7PgGX0-kHA/edit?usp=sharing"",""แผน!EJ67"")"),120)</f>
        <v>120</v>
      </c>
      <c r="J365" s="488">
        <f ca="1">J372</f>
        <v>1</v>
      </c>
      <c r="K365" s="489">
        <f t="shared" ca="1" si="160"/>
        <v>0.83333333333333337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IFERROR(__xludf.DUMMYFUNCTION("IMPORTRANGE(""https://docs.google.com/spreadsheets/d/1XWAQStnk-4SwqDmLtmXYiTMKHgktTP8We1SCoS47DrQ/edit?usp=sharing"",""จัดที่ดิน!E67"")"),0)</f>
        <v>0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IFERROR(__xludf.DUMMYFUNCTION("IMPORTRANGE(""https://docs.google.com/spreadsheets/d/1QqKyyYR6Q21VydFLVH3TRQUabQu_ym0Zz7PgGX0-kHA/edit?usp=sharing"",""แผน!EI67"")"),1500)</f>
        <v>1500</v>
      </c>
      <c r="J369" s="264">
        <f ca="1">IFERROR(__xludf.DUMMYFUNCTION("IMPORTRANGE(""https://docs.google.com/spreadsheets/d/1XWAQStnk-4SwqDmLtmXYiTMKHgktTP8We1SCoS47DrQ/edit?usp=sharing"",""จัดที่ดิน!F67"")"),0)</f>
        <v>0</v>
      </c>
      <c r="K369" s="495">
        <f t="shared" ca="1" si="162"/>
        <v>0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IFERROR(__xludf.DUMMYFUNCTION("IMPORTRANGE(""https://docs.google.com/spreadsheets/d/1QqKyyYR6Q21VydFLVH3TRQUabQu_ym0Zz7PgGX0-kHA/edit?usp=sharing"",""แผน!EJ67"")"),120)</f>
        <v>120</v>
      </c>
      <c r="J370" s="264">
        <f ca="1">IFERROR(__xludf.DUMMYFUNCTION("IMPORTRANGE(""https://docs.google.com/spreadsheets/d/1XWAQStnk-4SwqDmLtmXYiTMKHgktTP8We1SCoS47DrQ/edit?usp=sharing"",""จัดที่ดิน!G67"")"),0)</f>
        <v>0</v>
      </c>
      <c r="K370" s="495">
        <f t="shared" ca="1" si="162"/>
        <v>0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IFERROR(__xludf.DUMMYFUNCTION("IMPORTRANGE(""https://docs.google.com/spreadsheets/d/1XWAQStnk-4SwqDmLtmXYiTMKHgktTP8We1SCoS47DrQ/edit?usp=sharing"",""จัดที่ดิน!H67"")"),0)</f>
        <v>0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IFERROR(__xludf.DUMMYFUNCTION("IMPORTRANGE(""https://docs.google.com/spreadsheets/d/1QqKyyYR6Q21VydFLVH3TRQUabQu_ym0Zz7PgGX0-kHA/edit?usp=sharing"",""แผน!EJ67"")"),120)</f>
        <v>120</v>
      </c>
      <c r="J372" s="264">
        <f ca="1">IFERROR(__xludf.DUMMYFUNCTION("IMPORTRANGE(""https://docs.google.com/spreadsheets/d/1XWAQStnk-4SwqDmLtmXYiTMKHgktTP8We1SCoS47DrQ/edit?usp=sharing"",""จัดที่ดิน!I67"")"),1)</f>
        <v>1</v>
      </c>
      <c r="K372" s="495">
        <f t="shared" ca="1" si="162"/>
        <v>0.83333333333333337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IFERROR(__xludf.DUMMYFUNCTION("IMPORTRANGE(""https://docs.google.com/spreadsheets/d/1XWAQStnk-4SwqDmLtmXYiTMKHgktTP8We1SCoS47DrQ/edit?usp=sharing"",""จัดที่ดิน!J67"")"),5)</f>
        <v>5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IFERROR(__xludf.DUMMYFUNCTION("IMPORTRANGE(""https://docs.google.com/spreadsheets/d/1QqKyyYR6Q21VydFLVH3TRQUabQu_ym0Zz7PgGX0-kHA/edit?usp=sharing"",""แผน!EU67"")"),175)</f>
        <v>175</v>
      </c>
      <c r="J374" s="488">
        <f ca="1">J381</f>
        <v>27</v>
      </c>
      <c r="K374" s="489">
        <f t="shared" ca="1" si="162"/>
        <v>15.428571428571429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IFERROR(__xludf.DUMMYFUNCTION("IMPORTRANGE(""https://docs.google.com/spreadsheets/d/1XWAQStnk-4SwqDmLtmXYiTMKHgktTP8We1SCoS47DrQ/edit?usp=sharing"",""จัดที่ดิน!AH67"")"),0)</f>
        <v>0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IFERROR(__xludf.DUMMYFUNCTION("IMPORTRANGE(""https://docs.google.com/spreadsheets/d/1QqKyyYR6Q21VydFLVH3TRQUabQu_ym0Zz7PgGX0-kHA/edit?usp=sharing"",""แผน!ET67"")"),250)</f>
        <v>250</v>
      </c>
      <c r="J378" s="264">
        <f ca="1">IFERROR(__xludf.DUMMYFUNCTION("IMPORTRANGE(""https://docs.google.com/spreadsheets/d/1XWAQStnk-4SwqDmLtmXYiTMKHgktTP8We1SCoS47DrQ/edit?usp=sharing"",""จัดที่ดิน!AI67"")"),0)</f>
        <v>0</v>
      </c>
      <c r="K378" s="495">
        <f t="shared" ca="1" si="163"/>
        <v>0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IFERROR(__xludf.DUMMYFUNCTION("IMPORTRANGE(""https://docs.google.com/spreadsheets/d/1QqKyyYR6Q21VydFLVH3TRQUabQu_ym0Zz7PgGX0-kHA/edit?usp=sharing"",""แผน!EU67"")"),175)</f>
        <v>175</v>
      </c>
      <c r="J379" s="264">
        <f ca="1">IFERROR(__xludf.DUMMYFUNCTION("IMPORTRANGE(""https://docs.google.com/spreadsheets/d/1XWAQStnk-4SwqDmLtmXYiTMKHgktTP8We1SCoS47DrQ/edit?usp=sharing"",""จัดที่ดิน!AJ67"")"),27)</f>
        <v>27</v>
      </c>
      <c r="K379" s="495">
        <f t="shared" ca="1" si="163"/>
        <v>15.428571428571429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IFERROR(__xludf.DUMMYFUNCTION("IMPORTRANGE(""https://docs.google.com/spreadsheets/d/1XWAQStnk-4SwqDmLtmXYiTMKHgktTP8We1SCoS47DrQ/edit?usp=sharing"",""จัดที่ดิน!AK67"")"),344.42)</f>
        <v>344.42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IFERROR(__xludf.DUMMYFUNCTION("IMPORTRANGE(""https://docs.google.com/spreadsheets/d/1QqKyyYR6Q21VydFLVH3TRQUabQu_ym0Zz7PgGX0-kHA/edit?usp=sharing"",""แผน!EU67"")"),175)</f>
        <v>175</v>
      </c>
      <c r="J381" s="264">
        <f ca="1">IFERROR(__xludf.DUMMYFUNCTION("IMPORTRANGE(""https://docs.google.com/spreadsheets/d/1XWAQStnk-4SwqDmLtmXYiTMKHgktTP8We1SCoS47DrQ/edit?usp=sharing"",""จัดที่ดิน!AL67"")"),27)</f>
        <v>27</v>
      </c>
      <c r="K381" s="495">
        <f t="shared" ca="1" si="163"/>
        <v>15.428571428571429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IFERROR(__xludf.DUMMYFUNCTION("IMPORTRANGE(""https://docs.google.com/spreadsheets/d/1XWAQStnk-4SwqDmLtmXYiTMKHgktTP8We1SCoS47DrQ/edit?usp=sharing"",""จัดที่ดิน!AM67"")"),344.42)</f>
        <v>344.42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IFERROR(__xludf.DUMMYFUNCTION("IMPORTRANGE(""https://docs.google.com/spreadsheets/d/1QqKyyYR6Q21VydFLVH3TRQUabQu_ym0Zz7PgGX0-kHA/edit?usp=sharing"",""แผน!EW67"")"),10)</f>
        <v>10</v>
      </c>
      <c r="J385" s="498">
        <f ca="1">IFERROR(__xludf.DUMMYFUNCTION("IMPORTRANGE(""https://docs.google.com/spreadsheets/d/1XWAQStnk-4SwqDmLtmXYiTMKHgktTP8We1SCoS47DrQ/edit?usp=sharing"",""จัดที่ดิน!AP67"")"),0)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IFERROR(__xludf.DUMMYFUNCTION("IMPORTRANGE(""https://docs.google.com/spreadsheets/d/1MeEWN-I1oV_STSDYn1IFDPWt_1FKiwhDph83XaGc0o0/edit?usp=sharing"",""งบพรบ!FG67"")"),0)</f>
        <v>0</v>
      </c>
      <c r="M394" s="90">
        <f ca="1">IFERROR(__xludf.DUMMYFUNCTION("IMPORTRANGE(""https://docs.google.com/spreadsheets/d/1MeEWN-I1oV_STSDYn1IFDPWt_1FKiwhDph83XaGc0o0/edit?usp=sharing"",""งบพรบ!FL67"")"),0)</f>
        <v>0</v>
      </c>
      <c r="N394" s="90">
        <f ca="1">IFERROR(__xludf.DUMMYFUNCTION("IMPORTRANGE(""https://docs.google.com/spreadsheets/d/1MeEWN-I1oV_STSDYn1IFDPWt_1FKiwhDph83XaGc0o0/edit?usp=sharing"",""งบพรบ!FN67"")"),0)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IFERROR(__xludf.DUMMYFUNCTION("IMPORTRANGE(""https://docs.google.com/spreadsheets/d/1MeEWN-I1oV_STSDYn1IFDPWt_1FKiwhDph83XaGc0o0/edit?usp=sharing"",""งบพรบ!FJ67"")"),0)</f>
        <v>0</v>
      </c>
      <c r="M397" s="90">
        <f ca="1">IFERROR(__xludf.DUMMYFUNCTION("IMPORTRANGE(""https://docs.google.com/spreadsheets/d/1MeEWN-I1oV_STSDYn1IFDPWt_1FKiwhDph83XaGc0o0/edit?usp=sharing"",""งบพรบ!FM67"")"),0)</f>
        <v>0</v>
      </c>
      <c r="N397" s="90">
        <f ca="1">IFERROR(__xludf.DUMMYFUNCTION("IMPORTRANGE(""https://docs.google.com/spreadsheets/d/1MeEWN-I1oV_STSDYn1IFDPWt_1FKiwhDph83XaGc0o0/edit?usp=sharing"",""งบพรบ!FO67"")"),0)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IFERROR(__xludf.DUMMYFUNCTION("IMPORTRANGE(""https://docs.google.com/spreadsheets/d/1MeEWN-I1oV_STSDYn1IFDPWt_1FKiwhDph83XaGc0o0/edit?usp=sharing"",""งบพรบ!FQ67"")"),0)</f>
        <v>0</v>
      </c>
      <c r="M407" s="90">
        <f ca="1">IFERROR(__xludf.DUMMYFUNCTION("IMPORTRANGE(""https://docs.google.com/spreadsheets/d/1MeEWN-I1oV_STSDYn1IFDPWt_1FKiwhDph83XaGc0o0/edit?usp=sharing"",""งบพรบ!FV67"")"),0)</f>
        <v>0</v>
      </c>
      <c r="N407" s="90">
        <f ca="1">IFERROR(__xludf.DUMMYFUNCTION("IMPORTRANGE(""https://docs.google.com/spreadsheets/d/1MeEWN-I1oV_STSDYn1IFDPWt_1FKiwhDph83XaGc0o0/edit?usp=sharing"",""งบพรบ!FX67"")"),0)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IFERROR(__xludf.DUMMYFUNCTION("IMPORTRANGE(""https://docs.google.com/spreadsheets/d/1MeEWN-I1oV_STSDYn1IFDPWt_1FKiwhDph83XaGc0o0/edit?usp=sharing"",""งบพรบ!FT67"")"),0)</f>
        <v>0</v>
      </c>
      <c r="M410" s="90">
        <f ca="1">IFERROR(__xludf.DUMMYFUNCTION("IMPORTRANGE(""https://docs.google.com/spreadsheets/d/1MeEWN-I1oV_STSDYn1IFDPWt_1FKiwhDph83XaGc0o0/edit?usp=sharing"",""งบพรบ!FW67"")"),0)</f>
        <v>0</v>
      </c>
      <c r="N410" s="90">
        <f ca="1">IFERROR(__xludf.DUMMYFUNCTION("IMPORTRANGE(""https://docs.google.com/spreadsheets/d/1MeEWN-I1oV_STSDYn1IFDPWt_1FKiwhDph83XaGc0o0/edit?usp=sharing"",""งบพรบ!FY67"")"),0)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1442038</v>
      </c>
      <c r="M414" s="546">
        <f t="shared" si="180"/>
        <v>0</v>
      </c>
      <c r="N414" s="546">
        <f t="shared" si="180"/>
        <v>169320.16999999998</v>
      </c>
      <c r="O414" s="546">
        <f ca="1">IF(L414&gt;0,N414*100/L414,0)</f>
        <v>11.741727333121595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20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78660</v>
      </c>
      <c r="M419" s="151">
        <f t="shared" si="183"/>
        <v>0</v>
      </c>
      <c r="N419" s="151">
        <f t="shared" si="183"/>
        <v>15040</v>
      </c>
      <c r="O419" s="151">
        <f t="shared" ref="O419:O424" ca="1" si="184">IF(L419&gt;0,N419*100/L419,0)</f>
        <v>19.120264429188914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78660</v>
      </c>
      <c r="M421" s="90">
        <f t="shared" si="186"/>
        <v>0</v>
      </c>
      <c r="N421" s="90">
        <f t="shared" si="186"/>
        <v>15040</v>
      </c>
      <c r="O421" s="90">
        <f t="shared" ca="1" si="184"/>
        <v>19.120264429188914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78660</v>
      </c>
      <c r="M422" s="495">
        <f t="shared" si="187"/>
        <v>0</v>
      </c>
      <c r="N422" s="495">
        <f t="shared" si="187"/>
        <v>15040</v>
      </c>
      <c r="O422" s="495">
        <f t="shared" ca="1" si="184"/>
        <v>19.120264429188914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IFERROR(__xludf.DUMMYFUNCTION("IMPORTRANGE(""https://docs.google.com/spreadsheets/d/1QqKyyYR6Q21VydFLVH3TRQUabQu_ym0Zz7PgGX0-kHA/edit?usp=sharing"",""แผน!EY67"")"),78660)</f>
        <v>78660</v>
      </c>
      <c r="M424" s="90">
        <v>0</v>
      </c>
      <c r="N424" s="90">
        <f>N425+N426+N427+N428</f>
        <v>15040</v>
      </c>
      <c r="O424" s="90">
        <f t="shared" ca="1" si="184"/>
        <v>19.120264429188914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15040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IFERROR(__xludf.DUMMYFUNCTION("IMPORTRANGE(""https://docs.google.com/spreadsheets/d/1QqKyyYR6Q21VydFLVH3TRQUabQu_ym0Zz7PgGX0-kHA/edit?usp=sharing"",""แผน!FB67"")"),0)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20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IFERROR(__xludf.DUMMYFUNCTION("IMPORTRANGE(""https://docs.google.com/spreadsheets/d/1QqKyyYR6Q21VydFLVH3TRQUabQu_ym0Zz7PgGX0-kHA/edit?usp=sharing"",""แผน!FC67"")"),20)</f>
        <v>20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IFERROR(__xludf.DUMMYFUNCTION("IMPORTRANGE(""https://docs.google.com/spreadsheets/d/1QqKyyYR6Q21VydFLVH3TRQUabQu_ym0Zz7PgGX0-kHA/edit?usp=sharing"",""แผน!FD67"")"),0)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IFERROR(__xludf.DUMMYFUNCTION("IMPORTRANGE(""https://docs.google.com/spreadsheets/d/1QqKyyYR6Q21VydFLVH3TRQUabQu_ym0Zz7PgGX0-kHA/edit?usp=sharing"",""แผน!FE67"")"),0)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IFERROR(__xludf.DUMMYFUNCTION("IMPORTRANGE(""https://docs.google.com/spreadsheets/d/1QqKyyYR6Q21VydFLVH3TRQUabQu_ym0Zz7PgGX0-kHA/edit?usp=sharing"",""แผน!FF67"")"),20)</f>
        <v>20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IFERROR(__xludf.DUMMYFUNCTION("IMPORTRANGE(""https://docs.google.com/spreadsheets/d/1QqKyyYR6Q21VydFLVH3TRQUabQu_ym0Zz7PgGX0-kHA/edit?usp=sharing"",""แผน!FG67"")"),1)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IFERROR(__xludf.DUMMYFUNCTION("IMPORTRANGE(""https://docs.google.com/spreadsheets/d/1QqKyyYR6Q21VydFLVH3TRQUabQu_ym0Zz7PgGX0-kHA/edit?usp=sharing"",""แผน!FH67"")"),0)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IFERROR(__xludf.DUMMYFUNCTION("IMPORTRANGE(""https://docs.google.com/spreadsheets/d/1QqKyyYR6Q21VydFLVH3TRQUabQu_ym0Zz7PgGX0-kHA/edit?usp=sharing"",""แผน!FJ67"")"),0)</f>
        <v>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IFERROR(__xludf.DUMMYFUNCTION("IMPORTRANGE(""https://docs.google.com/spreadsheets/d/1QqKyyYR6Q21VydFLVH3TRQUabQu_ym0Zz7PgGX0-kHA/edit?usp=sharing"",""แผน!FM67"")"),0)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IFERROR(__xludf.DUMMYFUNCTION("IMPORTRANGE(""https://docs.google.com/spreadsheets/d/1QqKyyYR6Q21VydFLVH3TRQUabQu_ym0Zz7PgGX0-kHA/edit?usp=sharing"",""แผน!FN67"")"),0)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IFERROR(__xludf.DUMMYFUNCTION("IMPORTRANGE(""https://docs.google.com/spreadsheets/d/1QqKyyYR6Q21VydFLVH3TRQUabQu_ym0Zz7PgGX0-kHA/edit?usp=sharing"",""แผน!FO67"")"),0)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IFERROR(__xludf.DUMMYFUNCTION("IMPORTRANGE(""https://docs.google.com/spreadsheets/d/1QqKyyYR6Q21VydFLVH3TRQUabQu_ym0Zz7PgGX0-kHA/edit?usp=sharing"",""แผน!FO67"")"),0)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IFERROR(__xludf.DUMMYFUNCTION("IMPORTRANGE(""https://docs.google.com/spreadsheets/d/1QqKyyYR6Q21VydFLVH3TRQUabQu_ym0Zz7PgGX0-kHA/edit?usp=sharing"",""แผน!FN67"")"),0)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IFERROR(__xludf.DUMMYFUNCTION("IMPORTRANGE(""https://docs.google.com/spreadsheets/d/1QqKyyYR6Q21VydFLVH3TRQUabQu_ym0Zz7PgGX0-kHA/edit?usp=sharing"",""แผน!FX67"")"),61)</f>
        <v>61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IFERROR(__xludf.DUMMYFUNCTION("IMPORTRANGE(""https://docs.google.com/spreadsheets/d/1QqKyyYR6Q21VydFLVH3TRQUabQu_ym0Zz7PgGX0-kHA/edit?usp=sharing"",""แผน!FW67"")"),600)</f>
        <v>600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481323</v>
      </c>
      <c r="M467" s="191">
        <f t="shared" si="205"/>
        <v>0</v>
      </c>
      <c r="N467" s="191">
        <f t="shared" si="205"/>
        <v>1780</v>
      </c>
      <c r="O467" s="191">
        <f t="shared" ref="O467:O472" ca="1" si="206">IF(L467&gt;0,N467*100/L467,0)</f>
        <v>0.36981403340376423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481323</v>
      </c>
      <c r="M469" s="90">
        <f t="shared" si="208"/>
        <v>0</v>
      </c>
      <c r="N469" s="90">
        <f t="shared" si="208"/>
        <v>1780</v>
      </c>
      <c r="O469" s="90">
        <f t="shared" ca="1" si="206"/>
        <v>0.36981403340376423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481323</v>
      </c>
      <c r="M470" s="495">
        <f t="shared" si="209"/>
        <v>0</v>
      </c>
      <c r="N470" s="495">
        <f t="shared" si="209"/>
        <v>1780</v>
      </c>
      <c r="O470" s="495">
        <f t="shared" ca="1" si="206"/>
        <v>0.36981403340376423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IFERROR(__xludf.DUMMYFUNCTION("IMPORTRANGE(""https://docs.google.com/spreadsheets/d/1QqKyyYR6Q21VydFLVH3TRQUabQu_ym0Zz7PgGX0-kHA/edit?usp=sharing"",""แผน!FS67"")"),481323)</f>
        <v>481323</v>
      </c>
      <c r="M472" s="90">
        <v>0</v>
      </c>
      <c r="N472" s="90">
        <f>N473+N474+N475+N476</f>
        <v>1780</v>
      </c>
      <c r="O472" s="90">
        <f t="shared" ca="1" si="206"/>
        <v>0.36981403340376423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880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900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IFERROR(__xludf.DUMMYFUNCTION("IMPORTRANGE(""https://docs.google.com/spreadsheets/d/1QqKyyYR6Q21VydFLVH3TRQUabQu_ym0Zz7PgGX0-kHA/edit?usp=sharing"",""แผน!FV67"")"),0)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IFERROR(__xludf.DUMMYFUNCTION("IMPORTRANGE(""https://docs.google.com/spreadsheets/d/1QqKyyYR6Q21VydFLVH3TRQUabQu_ym0Zz7PgGX0-kHA/edit?usp=sharing"",""แผน!FY67"")"),540)</f>
        <v>540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IFERROR(__xludf.DUMMYFUNCTION("IMPORTRANGE(""https://docs.google.com/spreadsheets/d/1QqKyyYR6Q21VydFLVH3TRQUabQu_ym0Zz7PgGX0-kHA/edit?usp=sharing"",""แผน!FZ67"")"),54)</f>
        <v>54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IFERROR(__xludf.DUMMYFUNCTION("IMPORTRANGE(""https://docs.google.com/spreadsheets/d/1QqKyyYR6Q21VydFLVH3TRQUabQu_ym0Zz7PgGX0-kHA/edit?usp=sharing"",""แผน!GA67"")"),60)</f>
        <v>60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IFERROR(__xludf.DUMMYFUNCTION("IMPORTRANGE(""https://docs.google.com/spreadsheets/d/1QqKyyYR6Q21VydFLVH3TRQUabQu_ym0Zz7PgGX0-kHA/edit?usp=sharing"",""แผน!GB67"")"),6)</f>
        <v>6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IFERROR(__xludf.DUMMYFUNCTION("IMPORTRANGE(""https://docs.google.com/spreadsheets/d/1QqKyyYR6Q21VydFLVH3TRQUabQu_ym0Zz7PgGX0-kHA/edit?usp=sharing"",""แผน!GC67"")"),1)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IFERROR(__xludf.DUMMYFUNCTION("IMPORTRANGE(""https://docs.google.com/spreadsheets/d/1QqKyyYR6Q21VydFLVH3TRQUabQu_ym0Zz7PgGX0-kHA/edit?usp=sharing"",""แผน!FY67"")"),540)</f>
        <v>540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IFERROR(__xludf.DUMMYFUNCTION("IMPORTRANGE(""https://docs.google.com/spreadsheets/d/1QqKyyYR6Q21VydFLVH3TRQUabQu_ym0Zz7PgGX0-kHA/edit?usp=sharing"",""แผน!GA67"")"),60)</f>
        <v>60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IFERROR(__xludf.DUMMYFUNCTION("IMPORTRANGE(""https://docs.google.com/spreadsheets/d/1QqKyyYR6Q21VydFLVH3TRQUabQu_ym0Zz7PgGX0-kHA/edit?usp=sharing"",""แผน!GQ67"")"),0)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IFERROR(__xludf.DUMMYFUNCTION("IMPORTRANGE(""https://docs.google.com/spreadsheets/d/1QqKyyYR6Q21VydFLVH3TRQUabQu_ym0Zz7PgGX0-kHA/edit?usp=sharing"",""แผน!GT67"")"),0)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IFERROR(__xludf.DUMMYFUNCTION("IMPORTRANGE(""https://docs.google.com/spreadsheets/d/1QqKyyYR6Q21VydFLVH3TRQUabQu_ym0Zz7PgGX0-kHA/edit?usp=sharing"",""แผน!GU67"")"),0)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IFERROR(__xludf.DUMMYFUNCTION("IMPORTRANGE(""https://docs.google.com/spreadsheets/d/1QqKyyYR6Q21VydFLVH3TRQUabQu_ym0Zz7PgGX0-kHA/edit?usp=sharing"",""แผน!GV67"")"),0)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IFERROR(__xludf.DUMMYFUNCTION("IMPORTRANGE(""https://docs.google.com/spreadsheets/d/1QqKyyYR6Q21VydFLVH3TRQUabQu_ym0Zz7PgGX0-kHA/edit?usp=sharing"",""แผน!GW67"")"),0)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IFERROR(__xludf.DUMMYFUNCTION("IMPORTRANGE(""https://docs.google.com/spreadsheets/d/1QqKyyYR6Q21VydFLVH3TRQUabQu_ym0Zz7PgGX0-kHA/edit?usp=sharing"",""แผน!GX67"")"),0)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IFERROR(__xludf.DUMMYFUNCTION("IMPORTRANGE(""https://docs.google.com/spreadsheets/d/1QqKyyYR6Q21VydFLVH3TRQUabQu_ym0Zz7PgGX0-kHA/edit?usp=sharing"",""แผน!GY67"")"),0)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IFERROR(__xludf.DUMMYFUNCTION("IMPORTRANGE(""https://docs.google.com/spreadsheets/d/1QqKyyYR6Q21VydFLVH3TRQUabQu_ym0Zz7PgGX0-kHA/edit?usp=sharing"",""แผน!GZ67"")"),0)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255500</v>
      </c>
      <c r="M544" s="151">
        <f t="shared" si="235"/>
        <v>0</v>
      </c>
      <c r="N544" s="151">
        <f t="shared" si="235"/>
        <v>60542.84</v>
      </c>
      <c r="O544" s="151">
        <f t="shared" ref="O544:O549" ca="1" si="236">IF(L544&gt;0,N544*100/L544,0)</f>
        <v>23.695827788649705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255500</v>
      </c>
      <c r="M546" s="90">
        <f t="shared" si="239"/>
        <v>0</v>
      </c>
      <c r="N546" s="90">
        <f t="shared" si="239"/>
        <v>60542.84</v>
      </c>
      <c r="O546" s="90">
        <f t="shared" ca="1" si="236"/>
        <v>23.695827788649705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255500</v>
      </c>
      <c r="M547" s="495">
        <f t="shared" si="240"/>
        <v>0</v>
      </c>
      <c r="N547" s="495">
        <f t="shared" si="240"/>
        <v>60542.84</v>
      </c>
      <c r="O547" s="495">
        <f t="shared" ca="1" si="236"/>
        <v>23.695827788649705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IFERROR(__xludf.DUMMYFUNCTION("IMPORTRANGE(""https://docs.google.com/spreadsheets/d/1QqKyyYR6Q21VydFLVH3TRQUabQu_ym0Zz7PgGX0-kHA/edit?usp=sharing"",""แผน!HB67"")"),255500)</f>
        <v>255500</v>
      </c>
      <c r="M549" s="90">
        <v>0</v>
      </c>
      <c r="N549" s="90">
        <f>N550+N551+N552+N553+N554</f>
        <v>60542.84</v>
      </c>
      <c r="O549" s="90">
        <f t="shared" ca="1" si="236"/>
        <v>23.695827788649705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12133.24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48409.599999999999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IFERROR(__xludf.DUMMYFUNCTION("IMPORTRANGE(""https://docs.google.com/spreadsheets/d/1QqKyyYR6Q21VydFLVH3TRQUabQu_ym0Zz7PgGX0-kHA/edit?usp=sharing"",""แผน!HF67"")"),0)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IFERROR(__xludf.DUMMYFUNCTION("IMPORTRANGE(""https://docs.google.com/spreadsheets/d/1QqKyyYR6Q21VydFLVH3TRQUabQu_ym0Zz7PgGX0-kHA/edit?usp=sharing"",""แผน!HH67"")"),0)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IFERROR(__xludf.DUMMYFUNCTION("IMPORTRANGE(""https://docs.google.com/spreadsheets/d/1QqKyyYR6Q21VydFLVH3TRQUabQu_ym0Zz7PgGX0-kHA/edit?usp=sharing"",""แผน!HG67"")"),0)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IFERROR(__xludf.DUMMYFUNCTION("IMPORTRANGE(""https://docs.google.com/spreadsheets/d/1QqKyyYR6Q21VydFLVH3TRQUabQu_ym0Zz7PgGX0-kHA/edit?usp=sharing"",""แผน!HH67"")"),0)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IFERROR(__xludf.DUMMYFUNCTION("IMPORTRANGE(""https://docs.google.com/spreadsheets/d/1QqKyyYR6Q21VydFLVH3TRQUabQu_ym0Zz7PgGX0-kHA/edit?usp=sharing"",""แผน!HG67"")"),0)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IFERROR(__xludf.DUMMYFUNCTION("IMPORTRANGE(""https://docs.google.com/spreadsheets/d/1QqKyyYR6Q21VydFLVH3TRQUabQu_ym0Zz7PgGX0-kHA/edit?usp=sharing"",""แผน!HH67"")"),0)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IFERROR(__xludf.DUMMYFUNCTION("IMPORTRANGE(""https://docs.google.com/spreadsheets/d/1QqKyyYR6Q21VydFLVH3TRQUabQu_ym0Zz7PgGX0-kHA/edit?usp=sharing"",""แผน!HG67"")"),0)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347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IFERROR(__xludf.DUMMYFUNCTION("IMPORTRANGE(""https://docs.google.com/spreadsheets/d/1QqKyyYR6Q21VydFLVH3TRQUabQu_ym0Zz7PgGX0-kHA/edit?usp=sharing"",""แผน!HJ67"")"),347)</f>
        <v>347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IFERROR(__xludf.DUMMYFUNCTION("IMPORTRANGE(""https://docs.google.com/spreadsheets/d/1QqKyyYR6Q21VydFLVH3TRQUabQu_ym0Zz7PgGX0-kHA/edit?usp=sharing"",""แผน!HI67"")"),145)</f>
        <v>145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IFERROR(__xludf.DUMMYFUNCTION("IMPORTRANGE(""https://docs.google.com/spreadsheets/d/1QqKyyYR6Q21VydFLVH3TRQUabQu_ym0Zz7PgGX0-kHA/edit?usp=sharing"",""แผน!HL67"")"),0)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IFERROR(__xludf.DUMMYFUNCTION("IMPORTRANGE(""https://docs.google.com/spreadsheets/d/1QqKyyYR6Q21VydFLVH3TRQUabQu_ym0Zz7PgGX0-kHA/edit?usp=sharing"",""แผน!HK67"")"),0)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400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619055</v>
      </c>
      <c r="M629" s="191">
        <f t="shared" si="262"/>
        <v>0</v>
      </c>
      <c r="N629" s="191">
        <f t="shared" si="262"/>
        <v>90277.33</v>
      </c>
      <c r="O629" s="191">
        <f t="shared" ref="O629:O634" ca="1" si="263">IF(L629&gt;0,N629*100/L629,0)</f>
        <v>14.583087124730437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619055</v>
      </c>
      <c r="M631" s="90">
        <f t="shared" si="265"/>
        <v>0</v>
      </c>
      <c r="N631" s="90">
        <f t="shared" si="265"/>
        <v>90277.33</v>
      </c>
      <c r="O631" s="90">
        <f t="shared" ca="1" si="263"/>
        <v>14.583087124730437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619055</v>
      </c>
      <c r="M632" s="495">
        <f t="shared" si="266"/>
        <v>0</v>
      </c>
      <c r="N632" s="495">
        <f t="shared" si="266"/>
        <v>90277.33</v>
      </c>
      <c r="O632" s="495">
        <f t="shared" ca="1" si="263"/>
        <v>14.583087124730437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IFERROR(__xludf.DUMMYFUNCTION("IMPORTRANGE(""https://docs.google.com/spreadsheets/d/1QqKyyYR6Q21VydFLVH3TRQUabQu_ym0Zz7PgGX0-kHA/edit?usp=sharing"",""แผน!HN67"")"),619055)</f>
        <v>619055</v>
      </c>
      <c r="M634" s="90">
        <v>0</v>
      </c>
      <c r="N634" s="90">
        <f>N635+N636+N637+N638</f>
        <v>90277.33</v>
      </c>
      <c r="O634" s="90">
        <f t="shared" ca="1" si="263"/>
        <v>14.583087124730437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19710.849999999999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13000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57566.48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IFERROR(__xludf.DUMMYFUNCTION("IMPORTRANGE(""https://docs.google.com/spreadsheets/d/1QqKyyYR6Q21VydFLVH3TRQUabQu_ym0Zz7PgGX0-kHA/edit?usp=sharing"",""แผน!HQ67"")"),0)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IFERROR(__xludf.DUMMYFUNCTION("IMPORTRANGE(""https://docs.google.com/spreadsheets/d/1QqKyyYR6Q21VydFLVH3TRQUabQu_ym0Zz7PgGX0-kHA/edit?usp=sharing"",""แผน!HR67"")"),7)</f>
        <v>7</v>
      </c>
      <c r="J643" s="210">
        <v>1</v>
      </c>
      <c r="K643" s="159">
        <f t="shared" ref="K643:K652" ca="1" si="270">IF(I643&gt;0,J643*100/I643,0)</f>
        <v>14.285714285714286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IFERROR(__xludf.DUMMYFUNCTION("IMPORTRANGE(""https://docs.google.com/spreadsheets/d/1QqKyyYR6Q21VydFLVH3TRQUabQu_ym0Zz7PgGX0-kHA/edit?usp=sharing"",""แผน!HR67"")"),7)</f>
        <v>7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IFERROR(__xludf.DUMMYFUNCTION("IMPORTRANGE(""https://docs.google.com/spreadsheets/d/1XWAQStnk-4SwqDmLtmXYiTMKHgktTP8We1SCoS47DrQ/edit?usp=sharing"",""จัดที่ดิน!AS67"")"),0)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IFERROR(__xludf.DUMMYFUNCTION("IMPORTRANGE(""https://docs.google.com/spreadsheets/d/1XWAQStnk-4SwqDmLtmXYiTMKHgktTP8We1SCoS47DrQ/edit?usp=sharing"",""จัดที่ดิน!AT67"")"),0)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IFERROR(__xludf.DUMMYFUNCTION("IMPORTRANGE(""https://docs.google.com/spreadsheets/d/1QqKyyYR6Q21VydFLVH3TRQUabQu_ym0Zz7PgGX0-kHA/edit?usp=sharing"",""แผน!HS67"")"),400)</f>
        <v>400</v>
      </c>
      <c r="J647" s="264">
        <f ca="1">IFERROR(__xludf.DUMMYFUNCTION("IMPORTRANGE(""https://docs.google.com/spreadsheets/d/1XWAQStnk-4SwqDmLtmXYiTMKHgktTP8We1SCoS47DrQ/edit?usp=sharing"",""จัดที่ดิน!AU67"")"),0)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IFERROR(__xludf.DUMMYFUNCTION("IMPORTRANGE(""https://docs.google.com/spreadsheets/d/1XWAQStnk-4SwqDmLtmXYiTMKHgktTP8We1SCoS47DrQ/edit?usp=sharing"",""จัดที่ดิน!AV67"")"),0)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IFERROR(__xludf.DUMMYFUNCTION("IMPORTRANGE(""https://docs.google.com/spreadsheets/d/1QqKyyYR6Q21VydFLVH3TRQUabQu_ym0Zz7PgGX0-kHA/edit?usp=sharing"",""แผน!HS67"")"),400)</f>
        <v>400</v>
      </c>
      <c r="J649" s="264">
        <f ca="1">IFERROR(__xludf.DUMMYFUNCTION("IMPORTRANGE(""https://docs.google.com/spreadsheets/d/1XWAQStnk-4SwqDmLtmXYiTMKHgktTP8We1SCoS47DrQ/edit?usp=sharing"",""จัดที่ดิน!AW67"")"),0)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IFERROR(__xludf.DUMMYFUNCTION("IMPORTRANGE(""https://docs.google.com/spreadsheets/d/1XWAQStnk-4SwqDmLtmXYiTMKHgktTP8We1SCoS47DrQ/edit?usp=sharing"",""จัดที่ดิน!AX67"")"),0)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IFERROR(__xludf.DUMMYFUNCTION("IMPORTRANGE(""https://docs.google.com/spreadsheets/d/1QqKyyYR6Q21VydFLVH3TRQUabQu_ym0Zz7PgGX0-kHA/edit?usp=sharing"",""แผน!HS67"")"),400)</f>
        <v>400</v>
      </c>
      <c r="J651" s="264">
        <f ca="1">IFERROR(__xludf.DUMMYFUNCTION("IMPORTRANGE(""https://docs.google.com/spreadsheets/d/1XWAQStnk-4SwqDmLtmXYiTMKHgktTP8We1SCoS47DrQ/edit?usp=sharing"",""จัดที่ดิน!AY67"")"),0)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IFERROR(__xludf.DUMMYFUNCTION("IMPORTRANGE(""https://docs.google.com/spreadsheets/d/1XWAQStnk-4SwqDmLtmXYiTMKHgktTP8We1SCoS47DrQ/edit?usp=sharing"",""จัดที่ดิน!AZ67"")"),0)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 hidden="1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 hidden="1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 hidden="1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IFERROR(__xludf.DUMMYFUNCTION("IMPORTRANGE(""https://docs.google.com/spreadsheets/d/1QqKyyYR6Q21VydFLVH3TRQUabQu_ym0Zz7PgGX0-kHA/edit?usp=sharing"",""แผน!HV67"")"),0)</f>
        <v>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 hidden="1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 hidden="1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 hidden="1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 hidden="1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 hidden="1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 hidden="1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 hidden="1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IFERROR(__xludf.DUMMYFUNCTION("IMPORTRANGE(""https://docs.google.com/spreadsheets/d/1QqKyyYR6Q21VydFLVH3TRQUabQu_ym0Zz7PgGX0-kHA/edit?usp=sharing"",""แผน!IA67"")"),0)</f>
        <v>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 hidden="1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IFERROR(__xludf.DUMMYFUNCTION("IMPORTRANGE(""https://docs.google.com/spreadsheets/d/1QqKyyYR6Q21VydFLVH3TRQUabQu_ym0Zz7PgGX0-kHA/edit?usp=sharing"",""แผน!HZ67"")"),0)</f>
        <v>0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 hidden="1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IFERROR(__xludf.DUMMYFUNCTION("IMPORTRANGE(""https://docs.google.com/spreadsheets/d/1QqKyyYR6Q21VydFLVH3TRQUabQu_ym0Zz7PgGX0-kHA/edit?usp=sharing"",""แผน!HZ67"")"),0)</f>
        <v>0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 hidden="1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 hidden="1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 hidden="1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 hidden="1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 hidden="1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 hidden="1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 hidden="1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IFERROR(__xludf.DUMMYFUNCTION("IMPORTRANGE(""https://docs.google.com/spreadsheets/d/1QqKyyYR6Q21VydFLVH3TRQUabQu_ym0Zz7PgGX0-kHA/edit?usp=sharing"",""แผน!IB67"")"),0)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 hidden="1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 hidden="1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 hidden="1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 hidden="1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 hidden="1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7500</v>
      </c>
      <c r="M685" s="191">
        <f t="shared" si="281"/>
        <v>0</v>
      </c>
      <c r="N685" s="191">
        <f t="shared" si="281"/>
        <v>1680</v>
      </c>
      <c r="O685" s="191">
        <f t="shared" ref="O685:O688" ca="1" si="282">IF(L685&gt;0,N685*100/L685,0)</f>
        <v>22.4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7500</v>
      </c>
      <c r="M687" s="90">
        <f t="shared" si="284"/>
        <v>0</v>
      </c>
      <c r="N687" s="90">
        <f t="shared" si="284"/>
        <v>1680</v>
      </c>
      <c r="O687" s="90">
        <f t="shared" ca="1" si="282"/>
        <v>22.4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7500</v>
      </c>
      <c r="M688" s="495">
        <f t="shared" si="285"/>
        <v>0</v>
      </c>
      <c r="N688" s="495">
        <f t="shared" si="285"/>
        <v>1680</v>
      </c>
      <c r="O688" s="495">
        <f t="shared" ca="1" si="282"/>
        <v>22.4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IFERROR(__xludf.DUMMYFUNCTION("IMPORTRANGE(""https://docs.google.com/spreadsheets/d/1QqKyyYR6Q21VydFLVH3TRQUabQu_ym0Zz7PgGX0-kHA/edit?usp=sharing"",""แผน!HW67"")"),7500)</f>
        <v>7500</v>
      </c>
      <c r="M690" s="90">
        <v>0</v>
      </c>
      <c r="N690" s="90">
        <f>N691+N692+N693+N694</f>
        <v>1680</v>
      </c>
      <c r="O690" s="90">
        <f ca="1">IF(L690&gt;0,N690*100/L690,0)</f>
        <v>22.4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1680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IFERROR(__xludf.DUMMYFUNCTION("IMPORTRANGE(""https://docs.google.com/spreadsheets/d/1QqKyyYR6Q21VydFLVH3TRQUabQu_ym0Zz7PgGX0-kHA/edit?usp=sharing"",""แผน!IC67"")"),50)</f>
        <v>50</v>
      </c>
      <c r="J699" s="264">
        <f ca="1">IFERROR(__xludf.DUMMYFUNCTION("IMPORTRANGE(""https://docs.google.com/spreadsheets/d/1XWAQStnk-4SwqDmLtmXYiTMKHgktTP8We1SCoS47DrQ/edit?usp=sharing"",""จัดที่ดิน!BB67"")"),0)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IFERROR(__xludf.DUMMYFUNCTION("IMPORTRANGE(""https://docs.google.com/spreadsheets/d/1QqKyyYR6Q21VydFLVH3TRQUabQu_ym0Zz7PgGX0-kHA/edit?usp=sharing"",""แผน!ID67"")"),2)</f>
        <v>2</v>
      </c>
      <c r="J700" s="264">
        <f ca="1">IFERROR(__xludf.DUMMYFUNCTION("IMPORTRANGE(""https://docs.google.com/spreadsheets/d/1XWAQStnk-4SwqDmLtmXYiTMKHgktTP8We1SCoS47DrQ/edit?usp=sharing"",""จัดที่ดิน!BD67"")"),0)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IFERROR(__xludf.DUMMYFUNCTION("IMPORTRANGE(""https://docs.google.com/spreadsheets/d/1QqKyyYR6Q21VydFLVH3TRQUabQu_ym0Zz7PgGX0-kHA/edit?usp=sharing"",""แผน!IE67"")"),12)</f>
        <v>12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IFERROR(__xludf.DUMMYFUNCTION("IMPORTRANGE(""https://docs.google.com/spreadsheets/d/1QqKyyYR6Q21VydFLVH3TRQUabQu_ym0Zz7PgGX0-kHA/edit?usp=sharing"",""แผน!IF67"")"),12)</f>
        <v>12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IFERROR(__xludf.DUMMYFUNCTION("IMPORTRANGE(""https://docs.google.com/spreadsheets/d/1QqKyyYR6Q21VydFLVH3TRQUabQu_ym0Zz7PgGX0-kHA/edit?usp=sharing"",""แผน!IG67"")"),0)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IFERROR(__xludf.DUMMYFUNCTION("IMPORTRANGE(""https://docs.google.com/spreadsheets/d/1QqKyyYR6Q21VydFLVH3TRQUabQu_ym0Zz7PgGX0-kHA/edit?usp=sharing"",""แผน!IH67"")"),0)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IFERROR(__xludf.DUMMYFUNCTION("IMPORTRANGE(""https://docs.google.com/spreadsheets/d/1XWAQStnk-4SwqDmLtmXYiTMKHgktTP8We1SCoS47DrQ/edit?usp=sharing"",""จัดที่ดิน!BF67"")"),0)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IFERROR(__xludf.DUMMYFUNCTION("IMPORTRANGE(""https://docs.google.com/spreadsheets/d/1XWAQStnk-4SwqDmLtmXYiTMKHgktTP8We1SCoS47DrQ/edit?usp=sharing"",""จัดที่ดิน!BG67"")"),0)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IFERROR(__xludf.DUMMYFUNCTION("IMPORTRANGE(""https://docs.google.com/spreadsheets/d/1QqKyyYR6Q21VydFLVH3TRQUabQu_ym0Zz7PgGX0-kHA/edit?usp=sharing"",""แผน!II67"")"),30)</f>
        <v>30</v>
      </c>
      <c r="J720" s="264">
        <f ca="1">IFERROR(__xludf.DUMMYFUNCTION("IMPORTRANGE(""https://docs.google.com/spreadsheets/d/1XWAQStnk-4SwqDmLtmXYiTMKHgktTP8We1SCoS47DrQ/edit?usp=sharing"",""จัดที่ดิน!BH67"")"),0)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IFERROR(__xludf.DUMMYFUNCTION("IMPORTRANGE(""https://docs.google.com/spreadsheets/d/1QqKyyYR6Q21VydFLVH3TRQUabQu_ym0Zz7PgGX0-kHA/edit?usp=sharing"",""แผน!IJ67"")"),1)</f>
        <v>1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IFERROR(__xludf.DUMMYFUNCTION("IMPORTRANGE(""https://docs.google.com/spreadsheets/d/1QqKyyYR6Q21VydFLVH3TRQUabQu_ym0Zz7PgGX0-kHA/edit?usp=sharing"",""แผน!IK67"")"),10)</f>
        <v>10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IFERROR(__xludf.DUMMYFUNCTION("IMPORTRANGE(""https://docs.google.com/spreadsheets/d/1QqKyyYR6Q21VydFLVH3TRQUabQu_ym0Zz7PgGX0-kHA/edit?usp=sharing"",""แผน!IL67"")"),1)</f>
        <v>1</v>
      </c>
      <c r="J723" s="264">
        <f ca="1">IFERROR(__xludf.DUMMYFUNCTION("IMPORTRANGE(""https://docs.google.com/spreadsheets/d/1XWAQStnk-4SwqDmLtmXYiTMKHgktTP8We1SCoS47DrQ/edit?usp=sharing"",""จัดที่ดิน!BM67"")"),0)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IFERROR(__xludf.DUMMYFUNCTION("IMPORTRANGE(""https://docs.google.com/spreadsheets/d/1XWAQStnk-4SwqDmLtmXYiTMKHgktTP8We1SCoS47DrQ/edit?usp=sharing"",""จัดที่ดิน!BN67"")"),0)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IFERROR(__xludf.DUMMYFUNCTION("IMPORTRANGE(""https://docs.google.com/spreadsheets/d/1QqKyyYR6Q21VydFLVH3TRQUabQu_ym0Zz7PgGX0-kHA/edit?usp=sharing"",""แผน!IM67"")"),10)</f>
        <v>10</v>
      </c>
      <c r="J725" s="264">
        <f ca="1">IFERROR(__xludf.DUMMYFUNCTION("IMPORTRANGE(""https://docs.google.com/spreadsheets/d/1XWAQStnk-4SwqDmLtmXYiTMKHgktTP8We1SCoS47DrQ/edit?usp=sharing"",""จัดที่ดิน!BO67"")"),0)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IFERROR(__xludf.DUMMYFUNCTION("IMPORTRANGE(""https://docs.google.com/spreadsheets/d/1QqKyyYR6Q21VydFLVH3TRQUabQu_ym0Zz7PgGX0-kHA/edit?usp=sharing"",""แผน!IN67"")"),0)</f>
        <v>0</v>
      </c>
      <c r="J726" s="264">
        <f ca="1">IFERROR(__xludf.DUMMYFUNCTION("IMPORTRANGE(""https://docs.google.com/spreadsheets/d/1XWAQStnk-4SwqDmLtmXYiTMKHgktTP8We1SCoS47DrQ/edit?usp=sharing"",""จัดที่ดิน!BR67"")"),0)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IFERROR(__xludf.DUMMYFUNCTION("IMPORTRANGE(""https://docs.google.com/spreadsheets/d/1XWAQStnk-4SwqDmLtmXYiTMKHgktTP8We1SCoS47DrQ/edit?usp=sharing"",""จัดที่ดิน!BS67"")"),0)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IFERROR(__xludf.DUMMYFUNCTION("IMPORTRANGE(""https://docs.google.com/spreadsheets/d/1QqKyyYR6Q21VydFLVH3TRQUabQu_ym0Zz7PgGX0-kHA/edit?usp=sharing"",""แผน!IO67"")"),0)</f>
        <v>0</v>
      </c>
      <c r="J728" s="264">
        <f ca="1">IFERROR(__xludf.DUMMYFUNCTION("IMPORTRANGE(""https://docs.google.com/spreadsheets/d/1XWAQStnk-4SwqDmLtmXYiTMKHgktTP8We1SCoS47DrQ/edit?usp=sharing"",""จัดที่ดิน!BT67"")"),0)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IFERROR(__xludf.DUMMYFUNCTION("IMPORTRANGE(""https://docs.google.com/spreadsheets/d/1QqKyyYR6Q21VydFLVH3TRQUabQu_ym0Zz7PgGX0-kHA/edit?usp=sharing"",""แผน!IP67"")"),0)</f>
        <v>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IFERROR(__xludf.DUMMYFUNCTION("IMPORTRANGE(""https://docs.google.com/spreadsheets/d/1QqKyyYR6Q21VydFLVH3TRQUabQu_ym0Zz7PgGX0-kHA/edit?usp=sharing"",""แผน!JJ67"")"),0)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IFERROR(__xludf.DUMMYFUNCTION("IMPORTRANGE(""https://docs.google.com/spreadsheets/d/1QqKyyYR6Q21VydFLVH3TRQUabQu_ym0Zz7PgGX0-kHA/edit?usp=sharing"",""แผน!JN67"")"),0)</f>
        <v>0</v>
      </c>
      <c r="J800" s="180">
        <f ca="1">IFERROR(__xludf.DUMMYFUNCTION("IMPORTRANGE(""https://docs.google.com/spreadsheets/d/1MaWodYyGHDf7siQLGxnXhG4mBNTNIuy296niS2xXulU/edit?usp=sharing"",""RTK!H67"")"),0)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IFERROR(__xludf.DUMMYFUNCTION("IMPORTRANGE(""https://docs.google.com/spreadsheets/d/1MaWodYyGHDf7siQLGxnXhG4mBNTNIuy296niS2xXulU/edit?usp=sharing"",""RTK!I67"")"),0)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264">
        <f ca="1">IFERROR(__xludf.DUMMYFUNCTION("IMPORTRANGE(""https://docs.google.com/spreadsheets/d/19vJNZY_5yjcGF2XGBMNZRCAIB0Kwfpjp8YEOfu-bneM/edit?usp=sharing"",""งานกองทุน!F67"")"),0)</f>
        <v>0</v>
      </c>
      <c r="K821" s="495">
        <f t="shared" ref="K821:K828" ca="1" si="334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IFERROR(__xludf.DUMMYFUNCTION("IMPORTRANGE(""https://docs.google.com/spreadsheets/d/19vJNZY_5yjcGF2XGBMNZRCAIB0Kwfpjp8YEOfu-bneM/edit?usp=sharing"",""งานกองทุน!C67"")"),106)</f>
        <v>106</v>
      </c>
      <c r="J822" s="264">
        <f ca="1">IFERROR(__xludf.DUMMYFUNCTION("IMPORTRANGE(""https://docs.google.com/spreadsheets/d/19vJNZY_5yjcGF2XGBMNZRCAIB0Kwfpjp8YEOfu-bneM/edit?usp=sharing"",""งานกองทุน!E67"")"),0)</f>
        <v>0</v>
      </c>
      <c r="K822" s="495">
        <f t="shared" ca="1" si="334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264">
        <f ca="1">IFERROR(__xludf.DUMMYFUNCTION("IMPORTRANGE(""https://docs.google.com/spreadsheets/d/19vJNZY_5yjcGF2XGBMNZRCAIB0Kwfpjp8YEOfu-bneM/edit?usp=sharing"",""งานกองทุน!K67"")"),14228.63)</f>
        <v>14228.63</v>
      </c>
      <c r="K823" s="495">
        <f t="shared" ca="1" si="334"/>
        <v>0.38899348313854898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IFERROR(__xludf.DUMMYFUNCTION("IMPORTRANGE(""https://docs.google.com/spreadsheets/d/19vJNZY_5yjcGF2XGBMNZRCAIB0Kwfpjp8YEOfu-bneM/edit?usp=sharing"",""งานกองทุน!H67"")"),184)</f>
        <v>184</v>
      </c>
      <c r="J824" s="264">
        <f ca="1">IFERROR(__xludf.DUMMYFUNCTION("IMPORTRANGE(""https://docs.google.com/spreadsheets/d/19vJNZY_5yjcGF2XGBMNZRCAIB0Kwfpjp8YEOfu-bneM/edit?usp=sharing"",""งานกองทุน!J67"")"),6)</f>
        <v>6</v>
      </c>
      <c r="K824" s="495">
        <f t="shared" ca="1" si="334"/>
        <v>3.2608695652173911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264">
        <f ca="1">IFERROR(__xludf.DUMMYFUNCTION("IMPORTRANGE(""https://docs.google.com/spreadsheets/d/19vJNZY_5yjcGF2XGBMNZRCAIB0Kwfpjp8YEOfu-bneM/edit?usp=sharing"",""งานกองทุน!P67"")"),10857.61)</f>
        <v>10857.61</v>
      </c>
      <c r="K825" s="495">
        <f t="shared" ca="1" si="334"/>
        <v>8.5910925100358302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IFERROR(__xludf.DUMMYFUNCTION("IMPORTRANGE(""https://docs.google.com/spreadsheets/d/19vJNZY_5yjcGF2XGBMNZRCAIB0Kwfpjp8YEOfu-bneM/edit?usp=sharing"",""งานกองทุน!M67"")"),12)</f>
        <v>12</v>
      </c>
      <c r="J826" s="264">
        <f ca="1">IFERROR(__xludf.DUMMYFUNCTION("IMPORTRANGE(""https://docs.google.com/spreadsheets/d/19vJNZY_5yjcGF2XGBMNZRCAIB0Kwfpjp8YEOfu-bneM/edit?usp=sharing"",""งานกองทุน!O67"")"),1)</f>
        <v>1</v>
      </c>
      <c r="K826" s="495">
        <f t="shared" ca="1" si="334"/>
        <v>8.3333333333333339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IFERROR(__xludf.DUMMYFUNCTION("IMPORTRANGE(""https://docs.google.com/spreadsheets/d/19vJNZY_5yjcGF2XGBMNZRCAIB0Kwfpjp8YEOfu-bneM/edit?usp=sharing"",""งานกองทุน!S67"")"),2580000)</f>
        <v>2580000</v>
      </c>
      <c r="J827" s="264">
        <f ca="1">IFERROR(__xludf.DUMMYFUNCTION("IMPORTRANGE(""https://docs.google.com/spreadsheets/d/19vJNZY_5yjcGF2XGBMNZRCAIB0Kwfpjp8YEOfu-bneM/edit?usp=sharing"",""งานกองทุน!U67"")"),0)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IFERROR(__xludf.DUMMYFUNCTION("IMPORTRANGE(""https://docs.google.com/spreadsheets/d/19vJNZY_5yjcGF2XGBMNZRCAIB0Kwfpjp8YEOfu-bneM/edit?usp=sharing"",""งานกองทุน!R67"")"),103)</f>
        <v>103</v>
      </c>
      <c r="J828" s="498">
        <f ca="1">IFERROR(__xludf.DUMMYFUNCTION("IMPORTRANGE(""https://docs.google.com/spreadsheets/d/19vJNZY_5yjcGF2XGBMNZRCAIB0Kwfpjp8YEOfu-bneM/edit?usp=sharing"",""งานกองทุน!T67"")"),52)</f>
        <v>52</v>
      </c>
      <c r="K828" s="499">
        <f t="shared" ca="1" si="334"/>
        <v>50.485436893203882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2897-6D36-4CD8-85F4-C9D8E3120EA4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A38" sqref="AA38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4.42578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353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7627970</v>
      </c>
      <c r="M8" s="21">
        <f t="shared" ca="1" si="0"/>
        <v>2564290</v>
      </c>
      <c r="N8" s="21">
        <f t="shared" ca="1" si="0"/>
        <v>911678.73</v>
      </c>
      <c r="O8" s="21">
        <f t="shared" ref="O8:O16" ca="1" si="1">IF(L8&gt;0,N8*100/L8,0)</f>
        <v>11.951787041637552</v>
      </c>
      <c r="P8" s="21">
        <f t="shared" ref="P8:P16" ca="1" si="2">IF(M8&gt;0,N8*100/M8,0)</f>
        <v>35.552871555089325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7627970</v>
      </c>
      <c r="M10" s="29">
        <f t="shared" ca="1" si="3"/>
        <v>2564290</v>
      </c>
      <c r="N10" s="29">
        <f t="shared" ca="1" si="3"/>
        <v>911678.73</v>
      </c>
      <c r="O10" s="29">
        <f t="shared" ca="1" si="1"/>
        <v>11.951787041637552</v>
      </c>
      <c r="P10" s="29">
        <f t="shared" ca="1" si="2"/>
        <v>35.552871555089325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7575170</v>
      </c>
      <c r="M11" s="495">
        <f t="shared" ca="1" si="4"/>
        <v>2511490</v>
      </c>
      <c r="N11" s="495">
        <f t="shared" ca="1" si="4"/>
        <v>858878.73</v>
      </c>
      <c r="O11" s="495">
        <f t="shared" ca="1" si="1"/>
        <v>11.338078617377564</v>
      </c>
      <c r="P11" s="495">
        <f t="shared" ca="1" si="2"/>
        <v>34.197975305495937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7575170</v>
      </c>
      <c r="M13" s="90">
        <f t="shared" ca="1" si="5"/>
        <v>2511490</v>
      </c>
      <c r="N13" s="90">
        <f t="shared" ca="1" si="5"/>
        <v>858878.73</v>
      </c>
      <c r="O13" s="90">
        <f t="shared" ca="1" si="1"/>
        <v>11.338078617377564</v>
      </c>
      <c r="P13" s="90">
        <f t="shared" ca="1" si="2"/>
        <v>34.197975305495937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52800</v>
      </c>
      <c r="M14" s="495">
        <f t="shared" ca="1" si="6"/>
        <v>52800</v>
      </c>
      <c r="N14" s="495">
        <f t="shared" ca="1" si="6"/>
        <v>52800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52800</v>
      </c>
      <c r="M16" s="51">
        <f t="shared" ca="1" si="7"/>
        <v>52800</v>
      </c>
      <c r="N16" s="51">
        <f t="shared" ca="1" si="7"/>
        <v>52800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5225200</v>
      </c>
      <c r="M18" s="21">
        <f t="shared" ca="1" si="8"/>
        <v>2564290</v>
      </c>
      <c r="N18" s="21">
        <f t="shared" ca="1" si="8"/>
        <v>911678.73</v>
      </c>
      <c r="O18" s="21">
        <f t="shared" ref="O18:O26" ca="1" si="9">IF(L18&gt;0,N18*100/L18,0)</f>
        <v>17.447728890760164</v>
      </c>
      <c r="P18" s="21">
        <f t="shared" ref="P18:P26" ca="1" si="10">IF(M18&gt;0,N18*100/M18,0)</f>
        <v>35.552871555089325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5225200</v>
      </c>
      <c r="M20" s="29">
        <f t="shared" ca="1" si="11"/>
        <v>2564290</v>
      </c>
      <c r="N20" s="29">
        <f t="shared" ca="1" si="11"/>
        <v>911678.73</v>
      </c>
      <c r="O20" s="29">
        <f t="shared" ca="1" si="9"/>
        <v>17.447728890760164</v>
      </c>
      <c r="P20" s="29">
        <f t="shared" ca="1" si="10"/>
        <v>35.552871555089325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5172400</v>
      </c>
      <c r="M21" s="495">
        <f t="shared" ca="1" si="12"/>
        <v>2511490</v>
      </c>
      <c r="N21" s="495">
        <f t="shared" ca="1" si="12"/>
        <v>858878.73</v>
      </c>
      <c r="O21" s="495">
        <f t="shared" ca="1" si="9"/>
        <v>16.605033060088161</v>
      </c>
      <c r="P21" s="495">
        <f t="shared" ca="1" si="10"/>
        <v>34.197975305495937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5172400</v>
      </c>
      <c r="M23" s="90">
        <f t="shared" ca="1" si="13"/>
        <v>2511490</v>
      </c>
      <c r="N23" s="90">
        <f t="shared" ca="1" si="13"/>
        <v>858878.73</v>
      </c>
      <c r="O23" s="90">
        <f t="shared" ca="1" si="9"/>
        <v>16.605033060088161</v>
      </c>
      <c r="P23" s="90">
        <f t="shared" ca="1" si="10"/>
        <v>34.197975305495937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52800</v>
      </c>
      <c r="M24" s="495">
        <f t="shared" ca="1" si="14"/>
        <v>52800</v>
      </c>
      <c r="N24" s="495">
        <f t="shared" ca="1" si="14"/>
        <v>52800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52800</v>
      </c>
      <c r="M26" s="51">
        <f t="shared" ca="1" si="15"/>
        <v>52800</v>
      </c>
      <c r="N26" s="51">
        <f t="shared" ca="1" si="15"/>
        <v>52800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2402770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2402770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2402770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2402770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5225200</v>
      </c>
      <c r="M37" s="57">
        <f t="shared" ca="1" si="24"/>
        <v>2564290</v>
      </c>
      <c r="N37" s="57">
        <f t="shared" ca="1" si="24"/>
        <v>911678.73</v>
      </c>
      <c r="O37" s="57">
        <f t="shared" ca="1" si="17"/>
        <v>17.447728890760164</v>
      </c>
      <c r="P37" s="57">
        <f t="shared" ca="1" si="18"/>
        <v>35.552871555089325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657500</v>
      </c>
      <c r="M41" s="82">
        <f t="shared" ca="1" si="25"/>
        <v>330100</v>
      </c>
      <c r="N41" s="82">
        <f t="shared" ca="1" si="25"/>
        <v>108400</v>
      </c>
      <c r="O41" s="82">
        <f t="shared" ref="O41:O49" ca="1" si="26">IF(L41&gt;0,N41*100/L41,0)</f>
        <v>16.486692015209126</v>
      </c>
      <c r="P41" s="82">
        <f t="shared" ref="P41:P49" ca="1" si="27">IF(M41&gt;0,N41*100/M41,0)</f>
        <v>32.838533777643136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657500</v>
      </c>
      <c r="M43" s="89">
        <f t="shared" ca="1" si="28"/>
        <v>330100</v>
      </c>
      <c r="N43" s="89">
        <f t="shared" ca="1" si="28"/>
        <v>108400</v>
      </c>
      <c r="O43" s="89">
        <f t="shared" ca="1" si="26"/>
        <v>16.486692015209126</v>
      </c>
      <c r="P43" s="89">
        <f t="shared" ca="1" si="27"/>
        <v>32.838533777643136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657500</v>
      </c>
      <c r="M44" s="495">
        <f t="shared" ca="1" si="29"/>
        <v>330100</v>
      </c>
      <c r="N44" s="495">
        <f t="shared" ca="1" si="29"/>
        <v>108400</v>
      </c>
      <c r="O44" s="495">
        <f t="shared" ca="1" si="26"/>
        <v>16.486692015209126</v>
      </c>
      <c r="P44" s="495">
        <f t="shared" ca="1" si="27"/>
        <v>32.838533777643136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IFERROR(__xludf.DUMMYFUNCTION("IMPORTRANGE(""https://docs.google.com/spreadsheets/d/1MeEWN-I1oV_STSDYn1IFDPWt_1FKiwhDph83XaGc0o0/edit?usp=sharing"",""งบพรบ!M68"")"),657500)</f>
        <v>657500</v>
      </c>
      <c r="M46" s="90">
        <f ca="1">IFERROR(__xludf.DUMMYFUNCTION("IMPORTRANGE(""https://docs.google.com/spreadsheets/d/1MeEWN-I1oV_STSDYn1IFDPWt_1FKiwhDph83XaGc0o0/edit?usp=sharing"",""งบพรบ!R68"")"),330100)</f>
        <v>330100</v>
      </c>
      <c r="N46" s="90">
        <f ca="1">IFERROR(__xludf.DUMMYFUNCTION("IMPORTRANGE(""https://docs.google.com/spreadsheets/d/1MeEWN-I1oV_STSDYn1IFDPWt_1FKiwhDph83XaGc0o0/edit?usp=sharing"",""งบพรบ!T68"")"),108400)</f>
        <v>108400</v>
      </c>
      <c r="O46" s="90">
        <f t="shared" ca="1" si="26"/>
        <v>16.486692015209126</v>
      </c>
      <c r="P46" s="90">
        <f t="shared" ca="1" si="27"/>
        <v>32.838533777643136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IFERROR(__xludf.DUMMYFUNCTION("IMPORTRANGE(""https://docs.google.com/spreadsheets/d/1MeEWN-I1oV_STSDYn1IFDPWt_1FKiwhDph83XaGc0o0/edit?usp=sharing"",""งบพรบ!P68"")"),0)</f>
        <v>0</v>
      </c>
      <c r="M49" s="51">
        <f ca="1">IFERROR(__xludf.DUMMYFUNCTION("IMPORTRANGE(""https://docs.google.com/spreadsheets/d/1MeEWN-I1oV_STSDYn1IFDPWt_1FKiwhDph83XaGc0o0/edit?usp=sharing"",""งบพรบ!S68"")"),0)</f>
        <v>0</v>
      </c>
      <c r="N49" s="51">
        <f ca="1">IFERROR(__xludf.DUMMYFUNCTION("IMPORTRANGE(""https://docs.google.com/spreadsheets/d/1MeEWN-I1oV_STSDYn1IFDPWt_1FKiwhDph83XaGc0o0/edit?usp=sharing"",""งบพรบ!U68"")"),0)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805700</v>
      </c>
      <c r="M53" s="112">
        <f t="shared" ca="1" si="31"/>
        <v>402850</v>
      </c>
      <c r="N53" s="112">
        <f t="shared" ca="1" si="31"/>
        <v>227846.89</v>
      </c>
      <c r="O53" s="112">
        <f t="shared" ref="O53:O61" ca="1" si="32">IF(L53&gt;0,N53*100/L53,0)</f>
        <v>28.279370733523645</v>
      </c>
      <c r="P53" s="112">
        <f t="shared" ref="P53:P61" ca="1" si="33">IF(M53&gt;0,N53*100/M53,0)</f>
        <v>56.558741467047291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805700</v>
      </c>
      <c r="M55" s="119">
        <f t="shared" ca="1" si="34"/>
        <v>402850</v>
      </c>
      <c r="N55" s="119">
        <f t="shared" ca="1" si="34"/>
        <v>227846.89</v>
      </c>
      <c r="O55" s="119">
        <f t="shared" ca="1" si="32"/>
        <v>28.279370733523645</v>
      </c>
      <c r="P55" s="119">
        <f t="shared" ca="1" si="33"/>
        <v>56.558741467047291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805700</v>
      </c>
      <c r="M56" s="495">
        <f t="shared" ca="1" si="35"/>
        <v>402850</v>
      </c>
      <c r="N56" s="495">
        <f t="shared" ca="1" si="35"/>
        <v>227846.89</v>
      </c>
      <c r="O56" s="495">
        <f t="shared" ca="1" si="32"/>
        <v>28.279370733523645</v>
      </c>
      <c r="P56" s="495">
        <f t="shared" ca="1" si="33"/>
        <v>56.558741467047291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IFERROR(__xludf.DUMMYFUNCTION("IMPORTRANGE(""https://docs.google.com/spreadsheets/d/1MeEWN-I1oV_STSDYn1IFDPWt_1FKiwhDph83XaGc0o0/edit?usp=sharing"",""งบพรบ!W68"")"),805700)</f>
        <v>805700</v>
      </c>
      <c r="M58" s="90">
        <f ca="1">IFERROR(__xludf.DUMMYFUNCTION("IMPORTRANGE(""https://docs.google.com/spreadsheets/d/1MeEWN-I1oV_STSDYn1IFDPWt_1FKiwhDph83XaGc0o0/edit?usp=sharing"",""งบพรบ!AB68"")"),402850)</f>
        <v>402850</v>
      </c>
      <c r="N58" s="90">
        <f ca="1">IFERROR(__xludf.DUMMYFUNCTION("IMPORTRANGE(""https://docs.google.com/spreadsheets/d/1MeEWN-I1oV_STSDYn1IFDPWt_1FKiwhDph83XaGc0o0/edit?usp=sharing"",""งบพรบ!AD68"")"),227846.89)</f>
        <v>227846.89</v>
      </c>
      <c r="O58" s="90">
        <f t="shared" ca="1" si="32"/>
        <v>28.279370733523645</v>
      </c>
      <c r="P58" s="90">
        <f t="shared" ca="1" si="33"/>
        <v>56.558741467047291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IFERROR(__xludf.DUMMYFUNCTION("IMPORTRANGE(""https://docs.google.com/spreadsheets/d/1MeEWN-I1oV_STSDYn1IFDPWt_1FKiwhDph83XaGc0o0/edit?usp=sharing"",""งบพรบ!Z68"")"),0)</f>
        <v>0</v>
      </c>
      <c r="M61" s="51">
        <f ca="1">IFERROR(__xludf.DUMMYFUNCTION("IMPORTRANGE(""https://docs.google.com/spreadsheets/d/1MeEWN-I1oV_STSDYn1IFDPWt_1FKiwhDph83XaGc0o0/edit?usp=sharing"",""งบพรบ!AC68"")"),0)</f>
        <v>0</v>
      </c>
      <c r="N61" s="51">
        <f ca="1">IFERROR(__xludf.DUMMYFUNCTION("IMPORTRANGE(""https://docs.google.com/spreadsheets/d/1MeEWN-I1oV_STSDYn1IFDPWt_1FKiwhDph83XaGc0o0/edit?usp=sharing"",""งบพรบ!AE68"")"),0)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2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180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1972000</v>
      </c>
      <c r="M66" s="151">
        <f t="shared" ca="1" si="39"/>
        <v>952000</v>
      </c>
      <c r="N66" s="151">
        <f t="shared" ca="1" si="39"/>
        <v>336272.84</v>
      </c>
      <c r="O66" s="151">
        <f t="shared" ref="O66:O74" ca="1" si="40">IF(L66&gt;0,N66*100/L66,0)</f>
        <v>17.052375253549695</v>
      </c>
      <c r="P66" s="151">
        <f t="shared" ref="P66:P74" ca="1" si="41">IF(M66&gt;0,N66*100/M66,0)</f>
        <v>35.322777310924373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1972000</v>
      </c>
      <c r="M68" s="90">
        <f t="shared" ca="1" si="42"/>
        <v>952000</v>
      </c>
      <c r="N68" s="90">
        <f t="shared" ca="1" si="42"/>
        <v>336272.84</v>
      </c>
      <c r="O68" s="90">
        <f t="shared" ca="1" si="40"/>
        <v>17.052375253549695</v>
      </c>
      <c r="P68" s="90">
        <f t="shared" ca="1" si="41"/>
        <v>35.322777310924373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1972000</v>
      </c>
      <c r="M69" s="495">
        <f t="shared" ca="1" si="43"/>
        <v>952000</v>
      </c>
      <c r="N69" s="495">
        <f t="shared" ca="1" si="43"/>
        <v>336272.84</v>
      </c>
      <c r="O69" s="495">
        <f t="shared" ca="1" si="40"/>
        <v>17.052375253549695</v>
      </c>
      <c r="P69" s="495">
        <f t="shared" ca="1" si="41"/>
        <v>35.322777310924373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IFERROR(__xludf.DUMMYFUNCTION("IMPORTRANGE(""https://docs.google.com/spreadsheets/d/1MeEWN-I1oV_STSDYn1IFDPWt_1FKiwhDph83XaGc0o0/edit?usp=sharing"",""งบพรบ!AG68"")"),1972000)</f>
        <v>1972000</v>
      </c>
      <c r="M71" s="90">
        <f ca="1">IFERROR(__xludf.DUMMYFUNCTION("IMPORTRANGE(""https://docs.google.com/spreadsheets/d/1MeEWN-I1oV_STSDYn1IFDPWt_1FKiwhDph83XaGc0o0/edit?usp=sharing"",""งบพรบ!AL68"")"),952000)</f>
        <v>952000</v>
      </c>
      <c r="N71" s="90">
        <f ca="1">IFERROR(__xludf.DUMMYFUNCTION("IMPORTRANGE(""https://docs.google.com/spreadsheets/d/1MeEWN-I1oV_STSDYn1IFDPWt_1FKiwhDph83XaGc0o0/edit?usp=sharing"",""งบพรบ!AN68"")"),336272.84)</f>
        <v>336272.84</v>
      </c>
      <c r="O71" s="90">
        <f t="shared" ca="1" si="40"/>
        <v>17.052375253549695</v>
      </c>
      <c r="P71" s="90">
        <f t="shared" ca="1" si="41"/>
        <v>35.322777310924373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IFERROR(__xludf.DUMMYFUNCTION("IMPORTRANGE(""https://docs.google.com/spreadsheets/d/1MeEWN-I1oV_STSDYn1IFDPWt_1FKiwhDph83XaGc0o0/edit?usp=sharing"",""งบพรบ!AJ68"")"),0)</f>
        <v>0</v>
      </c>
      <c r="M74" s="90">
        <f ca="1">IFERROR(__xludf.DUMMYFUNCTION("IMPORTRANGE(""https://docs.google.com/spreadsheets/d/1MeEWN-I1oV_STSDYn1IFDPWt_1FKiwhDph83XaGc0o0/edit?usp=sharing"",""งบพรบ!AM68"")"),0)</f>
        <v>0</v>
      </c>
      <c r="N74" s="90">
        <f ca="1">IFERROR(__xludf.DUMMYFUNCTION("IMPORTRANGE(""https://docs.google.com/spreadsheets/d/1MeEWN-I1oV_STSDYn1IFDPWt_1FKiwhDph83XaGc0o0/edit?usp=sharing"",""งบพรบ!AO68"")"),0)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2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180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IFERROR(__xludf.DUMMYFUNCTION("IMPORTRANGE(""https://docs.google.com/spreadsheets/d/1QqKyyYR6Q21VydFLVH3TRQUabQu_ym0Zz7PgGX0-kHA/edit?usp=sharing"",""แผน!H68"")"),0)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IFERROR(__xludf.DUMMYFUNCTION("IMPORTRANGE(""https://docs.google.com/spreadsheets/d/1QqKyyYR6Q21VydFLVH3TRQUabQu_ym0Zz7PgGX0-kHA/edit?usp=sharing"",""แผน!I68"")"),0)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IFERROR(__xludf.DUMMYFUNCTION("IMPORTRANGE(""https://docs.google.com/spreadsheets/d/1QqKyyYR6Q21VydFLVH3TRQUabQu_ym0Zz7PgGX0-kHA/edit?usp=sharing"",""แผน!F68"")"),1)</f>
        <v>1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IFERROR(__xludf.DUMMYFUNCTION("IMPORTRANGE(""https://docs.google.com/spreadsheets/d/1QqKyyYR6Q21VydFLVH3TRQUabQu_ym0Zz7PgGX0-kHA/edit?usp=sharing"",""แผน!G68"")"),80)</f>
        <v>80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IFERROR(__xludf.DUMMYFUNCTION("IMPORTRANGE(""https://docs.google.com/spreadsheets/d/1QqKyyYR6Q21VydFLVH3TRQUabQu_ym0Zz7PgGX0-kHA/edit?usp=sharing"",""แผน!D68"")"),1)</f>
        <v>1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IFERROR(__xludf.DUMMYFUNCTION("IMPORTRANGE(""https://docs.google.com/spreadsheets/d/1QqKyyYR6Q21VydFLVH3TRQUabQu_ym0Zz7PgGX0-kHA/edit?usp=sharing"",""แผน!E68"")"),100)</f>
        <v>100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IFERROR(__xludf.DUMMYFUNCTION("IMPORTRANGE(""https://docs.google.com/spreadsheets/d/1QqKyyYR6Q21VydFLVH3TRQUabQu_ym0Zz7PgGX0-kHA/edit?usp=sharing"",""แผน!J68"")"),2)</f>
        <v>2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45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15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384460</v>
      </c>
      <c r="M88" s="151">
        <f t="shared" ca="1" si="49"/>
        <v>162760</v>
      </c>
      <c r="N88" s="151">
        <f t="shared" ca="1" si="49"/>
        <v>26158</v>
      </c>
      <c r="O88" s="151">
        <f t="shared" ref="O88:O96" ca="1" si="50">IF(L88&gt;0,N88*100/L88,0)</f>
        <v>6.8038287468137124</v>
      </c>
      <c r="P88" s="151">
        <f t="shared" ref="P88:P96" ca="1" si="51">IF(M88&gt;0,N88*100/M88,0)</f>
        <v>16.071516343081839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384460</v>
      </c>
      <c r="M90" s="90">
        <f t="shared" ca="1" si="52"/>
        <v>162760</v>
      </c>
      <c r="N90" s="90">
        <f t="shared" ca="1" si="52"/>
        <v>26158</v>
      </c>
      <c r="O90" s="90">
        <f t="shared" ca="1" si="50"/>
        <v>6.8038287468137124</v>
      </c>
      <c r="P90" s="90">
        <f t="shared" ca="1" si="51"/>
        <v>16.071516343081839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384460</v>
      </c>
      <c r="M91" s="495">
        <f t="shared" ca="1" si="53"/>
        <v>162760</v>
      </c>
      <c r="N91" s="495">
        <f t="shared" ca="1" si="53"/>
        <v>26158</v>
      </c>
      <c r="O91" s="495">
        <f t="shared" ca="1" si="50"/>
        <v>6.8038287468137124</v>
      </c>
      <c r="P91" s="495">
        <f t="shared" ca="1" si="51"/>
        <v>16.071516343081839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IFERROR(__xludf.DUMMYFUNCTION("IMPORTRANGE(""https://docs.google.com/spreadsheets/d/1MeEWN-I1oV_STSDYn1IFDPWt_1FKiwhDph83XaGc0o0/edit?usp=sharing"",""งบพรบ!AQ68"")"),384460)</f>
        <v>384460</v>
      </c>
      <c r="M93" s="90">
        <f ca="1">IFERROR(__xludf.DUMMYFUNCTION("IMPORTRANGE(""https://docs.google.com/spreadsheets/d/1MeEWN-I1oV_STSDYn1IFDPWt_1FKiwhDph83XaGc0o0/edit?usp=sharing"",""งบพรบ!AV68"")"),162760)</f>
        <v>162760</v>
      </c>
      <c r="N93" s="90">
        <f ca="1">IFERROR(__xludf.DUMMYFUNCTION("IMPORTRANGE(""https://docs.google.com/spreadsheets/d/1MeEWN-I1oV_STSDYn1IFDPWt_1FKiwhDph83XaGc0o0/edit?usp=sharing"",""งบพรบ!AX68"")"),26158)</f>
        <v>26158</v>
      </c>
      <c r="O93" s="90">
        <f t="shared" ca="1" si="50"/>
        <v>6.8038287468137124</v>
      </c>
      <c r="P93" s="90">
        <f t="shared" ca="1" si="51"/>
        <v>16.071516343081839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IFERROR(__xludf.DUMMYFUNCTION("IMPORTRANGE(""https://docs.google.com/spreadsheets/d/1MeEWN-I1oV_STSDYn1IFDPWt_1FKiwhDph83XaGc0o0/edit?usp=sharing"",""งบพรบ!AT68"")"),0)</f>
        <v>0</v>
      </c>
      <c r="M96" s="90">
        <f ca="1">IFERROR(__xludf.DUMMYFUNCTION("IMPORTRANGE(""https://docs.google.com/spreadsheets/d/1MeEWN-I1oV_STSDYn1IFDPWt_1FKiwhDph83XaGc0o0/edit?usp=sharing"",""งบพรบ!AW68"")"),0)</f>
        <v>0</v>
      </c>
      <c r="N96" s="90">
        <f ca="1">IFERROR(__xludf.DUMMYFUNCTION("IMPORTRANGE(""https://docs.google.com/spreadsheets/d/1MeEWN-I1oV_STSDYn1IFDPWt_1FKiwhDph83XaGc0o0/edit?usp=sharing"",""งบพรบ!AY68"")"),0)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IFERROR(__xludf.DUMMYFUNCTION("IMPORTRANGE(""https://docs.google.com/spreadsheets/d/1QqKyyYR6Q21VydFLVH3TRQUabQu_ym0Zz7PgGX0-kHA/edit?usp=sharing"",""แผน!K68"")"),45)</f>
        <v>45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IFERROR(__xludf.DUMMYFUNCTION("IMPORTRANGE(""https://docs.google.com/spreadsheets/d/1QqKyyYR6Q21VydFLVH3TRQUabQu_ym0Zz7PgGX0-kHA/edit?usp=sharing"",""แผน!L68"")"),15)</f>
        <v>15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IFERROR(__xludf.DUMMYFUNCTION("IMPORTRANGE(""https://docs.google.com/spreadsheets/d/1QqKyyYR6Q21VydFLVH3TRQUabQu_ym0Zz7PgGX0-kHA/edit?usp=sharing"",""แผน!M68"")"),2)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IFERROR(__xludf.DUMMYFUNCTION("IMPORTRANGE(""https://docs.google.com/spreadsheets/d/1QqKyyYR6Q21VydFLVH3TRQUabQu_ym0Zz7PgGX0-kHA/edit?usp=sharing"",""แผน!N68"")"),45)</f>
        <v>45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IFERROR(__xludf.DUMMYFUNCTION("IMPORTRANGE(""https://docs.google.com/spreadsheets/d/1QqKyyYR6Q21VydFLVH3TRQUabQu_ym0Zz7PgGX0-kHA/edit?usp=sharing"",""แผน!O68"")"),15)</f>
        <v>15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IFERROR(__xludf.DUMMYFUNCTION("IMPORTRANGE(""https://docs.google.com/spreadsheets/d/1QqKyyYR6Q21VydFLVH3TRQUabQu_ym0Zz7PgGX0-kHA/edit?usp=sharing"",""แผน!O68"")"),15)</f>
        <v>15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IFERROR(__xludf.DUMMYFUNCTION("IMPORTRANGE(""https://docs.google.com/spreadsheets/d/1QqKyyYR6Q21VydFLVH3TRQUabQu_ym0Zz7PgGX0-kHA/edit?usp=sharing"",""แผน!P68"")"),1)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IFERROR(__xludf.DUMMYFUNCTION("IMPORTRANGE(""https://docs.google.com/spreadsheets/d/1QqKyyYR6Q21VydFLVH3TRQUabQu_ym0Zz7PgGX0-kHA/edit?usp=sharing"",""แผน!P68"")"),1)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IFERROR(__xludf.DUMMYFUNCTION("IMPORTRANGE(""https://docs.google.com/spreadsheets/d/1QqKyyYR6Q21VydFLVH3TRQUabQu_ym0Zz7PgGX0-kHA/edit?usp=sharing"",""แผน!Q68"")"),1)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IFERROR(__xludf.DUMMYFUNCTION("IMPORTRANGE(""https://docs.google.com/spreadsheets/d/1QqKyyYR6Q21VydFLVH3TRQUabQu_ym0Zz7PgGX0-kHA/edit?usp=sharing"",""แผน!Q68"")"),1)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IFERROR(__xludf.DUMMYFUNCTION("IMPORTRANGE(""https://docs.google.com/spreadsheets/d/1QqKyyYR6Q21VydFLVH3TRQUabQu_ym0Zz7PgGX0-kHA/edit?usp=sharing"",""แผน!R68"")"),15)</f>
        <v>15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IFERROR(__xludf.DUMMYFUNCTION("IMPORTRANGE(""https://docs.google.com/spreadsheets/d/1QqKyyYR6Q21VydFLVH3TRQUabQu_ym0Zz7PgGX0-kHA/edit?usp=sharing"",""แผน!R68"")"),15)</f>
        <v>15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IFERROR(__xludf.DUMMYFUNCTION("IMPORTRANGE(""https://docs.google.com/spreadsheets/d/1QqKyyYR6Q21VydFLVH3TRQUabQu_ym0Zz7PgGX0-kHA/edit?usp=sharing"",""แผน!R68"")"),15)</f>
        <v>15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IFERROR(__xludf.DUMMYFUNCTION("IMPORTRANGE(""https://docs.google.com/spreadsheets/d/1QqKyyYR6Q21VydFLVH3TRQUabQu_ym0Zz7PgGX0-kHA/edit?usp=sharing"",""แผน!S68"")"),1)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IFERROR(__xludf.DUMMYFUNCTION("IMPORTRANGE(""https://docs.google.com/spreadsheets/d/1QqKyyYR6Q21VydFLVH3TRQUabQu_ym0Zz7PgGX0-kHA/edit?usp=sharing"",""แผน!T68"")"),1)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IFERROR(__xludf.DUMMYFUNCTION("IMPORTRANGE(""https://docs.google.com/spreadsheets/d/1MeEWN-I1oV_STSDYn1IFDPWt_1FKiwhDph83XaGc0o0/edit?usp=sharing"",""งบพรบ!BA68"")"),0)</f>
        <v>0</v>
      </c>
      <c r="M124" s="90">
        <f ca="1">IFERROR(__xludf.DUMMYFUNCTION("IMPORTRANGE(""https://docs.google.com/spreadsheets/d/1MeEWN-I1oV_STSDYn1IFDPWt_1FKiwhDph83XaGc0o0/edit?usp=sharing"",""งบพรบ!BF68"")"),0)</f>
        <v>0</v>
      </c>
      <c r="N124" s="90">
        <f ca="1">IFERROR(__xludf.DUMMYFUNCTION("IMPORTRANGE(""https://docs.google.com/spreadsheets/d/1MeEWN-I1oV_STSDYn1IFDPWt_1FKiwhDph83XaGc0o0/edit?usp=sharing"",""งบพรบ!BH68"")"),0)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IFERROR(__xludf.DUMMYFUNCTION("IMPORTRANGE(""https://docs.google.com/spreadsheets/d/1MeEWN-I1oV_STSDYn1IFDPWt_1FKiwhDph83XaGc0o0/edit?usp=sharing"",""งบพรบ!BD68"")"),0)</f>
        <v>0</v>
      </c>
      <c r="M127" s="90">
        <f ca="1">IFERROR(__xludf.DUMMYFUNCTION("IMPORTRANGE(""https://docs.google.com/spreadsheets/d/1MeEWN-I1oV_STSDYn1IFDPWt_1FKiwhDph83XaGc0o0/edit?usp=sharing"",""งบพรบ!BG68"")"),0)</f>
        <v>0</v>
      </c>
      <c r="N127" s="90">
        <f ca="1">IFERROR(__xludf.DUMMYFUNCTION("IMPORTRANGE(""https://docs.google.com/spreadsheets/d/1MeEWN-I1oV_STSDYn1IFDPWt_1FKiwhDph83XaGc0o0/edit?usp=sharing"",""งบพรบ!BI68"")"),0)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IFERROR(__xludf.DUMMYFUNCTION("IMPORTRANGE(""https://docs.google.com/spreadsheets/d/1MeEWN-I1oV_STSDYn1IFDPWt_1FKiwhDph83XaGc0o0/edit?usp=sharing"",""งบพรบ!BK68"")"),0)</f>
        <v>0</v>
      </c>
      <c r="M137" s="90">
        <f ca="1">IFERROR(__xludf.DUMMYFUNCTION("IMPORTRANGE(""https://docs.google.com/spreadsheets/d/1MeEWN-I1oV_STSDYn1IFDPWt_1FKiwhDph83XaGc0o0/edit?usp=sharing"",""งบพรบ!BP68"")"),0)</f>
        <v>0</v>
      </c>
      <c r="N137" s="90">
        <f ca="1">IFERROR(__xludf.DUMMYFUNCTION("IMPORTRANGE(""https://docs.google.com/spreadsheets/d/1MeEWN-I1oV_STSDYn1IFDPWt_1FKiwhDph83XaGc0o0/edit?usp=sharing"",""งบพรบ!BR68"")"),0)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IFERROR(__xludf.DUMMYFUNCTION("IMPORTRANGE(""https://docs.google.com/spreadsheets/d/1MeEWN-I1oV_STSDYn1IFDPWt_1FKiwhDph83XaGc0o0/edit?usp=sharing"",""งบพรบ!BN68"")"),0)</f>
        <v>0</v>
      </c>
      <c r="M140" s="90">
        <f ca="1">IFERROR(__xludf.DUMMYFUNCTION("IMPORTRANGE(""https://docs.google.com/spreadsheets/d/1MeEWN-I1oV_STSDYn1IFDPWt_1FKiwhDph83XaGc0o0/edit?usp=sharing"",""งบพรบ!BQ68"")"),0)</f>
        <v>0</v>
      </c>
      <c r="N140" s="90">
        <f ca="1">IFERROR(__xludf.DUMMYFUNCTION("IMPORTRANGE(""https://docs.google.com/spreadsheets/d/1MeEWN-I1oV_STSDYn1IFDPWt_1FKiwhDph83XaGc0o0/edit?usp=sharing"",""งบพรบ!BS68"")"),0)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IFERROR(__xludf.DUMMYFUNCTION("IMPORTRANGE(""https://docs.google.com/spreadsheets/d/1QqKyyYR6Q21VydFLVH3TRQUabQu_ym0Zz7PgGX0-kHA/edit?usp=sharing"",""แผน!U68"")"),0)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IFERROR(__xludf.DUMMYFUNCTION("IMPORTRANGE(""https://docs.google.com/spreadsheets/d/1QqKyyYR6Q21VydFLVH3TRQUabQu_ym0Zz7PgGX0-kHA/edit?usp=sharing"",""แผน!V68"")"),0)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IFERROR(__xludf.DUMMYFUNCTION("IMPORTRANGE(""https://docs.google.com/spreadsheets/d/1QqKyyYR6Q21VydFLVH3TRQUabQu_ym0Zz7PgGX0-kHA/edit?usp=sharing"",""แผน!W68"")"),0)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10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5000</v>
      </c>
      <c r="M149" s="151">
        <f t="shared" ca="1" si="77"/>
        <v>5000</v>
      </c>
      <c r="N149" s="151">
        <f t="shared" ca="1" si="77"/>
        <v>1220</v>
      </c>
      <c r="O149" s="151">
        <f t="shared" ref="O149:O157" ca="1" si="78">IF(L149&gt;0,N149*100/L149,0)</f>
        <v>24.4</v>
      </c>
      <c r="P149" s="151">
        <f t="shared" ref="P149:P157" ca="1" si="79">IF(M149&gt;0,N149*100/M149,0)</f>
        <v>24.4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5000</v>
      </c>
      <c r="M151" s="90">
        <f t="shared" ca="1" si="80"/>
        <v>5000</v>
      </c>
      <c r="N151" s="90">
        <f t="shared" ca="1" si="80"/>
        <v>1220</v>
      </c>
      <c r="O151" s="90">
        <f t="shared" ca="1" si="78"/>
        <v>24.4</v>
      </c>
      <c r="P151" s="90">
        <f t="shared" ca="1" si="79"/>
        <v>24.4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5000</v>
      </c>
      <c r="M152" s="495">
        <f t="shared" ca="1" si="81"/>
        <v>5000</v>
      </c>
      <c r="N152" s="495">
        <f t="shared" ca="1" si="81"/>
        <v>1220</v>
      </c>
      <c r="O152" s="495">
        <f t="shared" ca="1" si="78"/>
        <v>24.4</v>
      </c>
      <c r="P152" s="495">
        <f t="shared" ca="1" si="79"/>
        <v>24.4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IFERROR(__xludf.DUMMYFUNCTION("IMPORTRANGE(""https://docs.google.com/spreadsheets/d/1MeEWN-I1oV_STSDYn1IFDPWt_1FKiwhDph83XaGc0o0/edit?usp=sharing"",""งบพรบ!BU68"")"),5000)</f>
        <v>5000</v>
      </c>
      <c r="M154" s="90">
        <f ca="1">IFERROR(__xludf.DUMMYFUNCTION("IMPORTRANGE(""https://docs.google.com/spreadsheets/d/1MeEWN-I1oV_STSDYn1IFDPWt_1FKiwhDph83XaGc0o0/edit?usp=sharing"",""งบพรบ!BZ68"")"),5000)</f>
        <v>5000</v>
      </c>
      <c r="N154" s="90">
        <f ca="1">IFERROR(__xludf.DUMMYFUNCTION("IMPORTRANGE(""https://docs.google.com/spreadsheets/d/1MeEWN-I1oV_STSDYn1IFDPWt_1FKiwhDph83XaGc0o0/edit?usp=sharing"",""งบพรบ!CB68"")"),1220)</f>
        <v>1220</v>
      </c>
      <c r="O154" s="90">
        <f t="shared" ca="1" si="78"/>
        <v>24.4</v>
      </c>
      <c r="P154" s="90">
        <f t="shared" ca="1" si="79"/>
        <v>24.4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IFERROR(__xludf.DUMMYFUNCTION("IMPORTRANGE(""https://docs.google.com/spreadsheets/d/1MeEWN-I1oV_STSDYn1IFDPWt_1FKiwhDph83XaGc0o0/edit?usp=sharing"",""งบพรบ!BX68"")"),0)</f>
        <v>0</v>
      </c>
      <c r="M157" s="90">
        <f ca="1">IFERROR(__xludf.DUMMYFUNCTION("IMPORTRANGE(""https://docs.google.com/spreadsheets/d/1MeEWN-I1oV_STSDYn1IFDPWt_1FKiwhDph83XaGc0o0/edit?usp=sharing"",""งบพรบ!CA68"")"),0)</f>
        <v>0</v>
      </c>
      <c r="N157" s="90">
        <f ca="1">IFERROR(__xludf.DUMMYFUNCTION("IMPORTRANGE(""https://docs.google.com/spreadsheets/d/1MeEWN-I1oV_STSDYn1IFDPWt_1FKiwhDph83XaGc0o0/edit?usp=sharing"",""งบพรบ!CC68"")"),0)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IFERROR(__xludf.DUMMYFUNCTION("IMPORTRANGE(""https://docs.google.com/spreadsheets/d/1QqKyyYR6Q21VydFLVH3TRQUabQu_ym0Zz7PgGX0-kHA/edit?usp=sharing"",""แผน!X68"")"),10)</f>
        <v>10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12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23060</v>
      </c>
      <c r="M165" s="150">
        <f t="shared" ca="1" si="84"/>
        <v>23060</v>
      </c>
      <c r="N165" s="150">
        <f t="shared" ca="1" si="84"/>
        <v>23060</v>
      </c>
      <c r="O165" s="150">
        <f t="shared" ref="O165:O173" ca="1" si="85">IF(L165&gt;0,N165*100/L165,0)</f>
        <v>100</v>
      </c>
      <c r="P165" s="150">
        <f t="shared" ref="P165:P173" ca="1" si="86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23060</v>
      </c>
      <c r="M167" s="90">
        <f t="shared" ca="1" si="87"/>
        <v>23060</v>
      </c>
      <c r="N167" s="90">
        <f t="shared" ca="1" si="87"/>
        <v>23060</v>
      </c>
      <c r="O167" s="90">
        <f t="shared" ca="1" si="85"/>
        <v>100</v>
      </c>
      <c r="P167" s="90">
        <f t="shared" ca="1" si="86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23060</v>
      </c>
      <c r="M168" s="495">
        <f t="shared" ca="1" si="88"/>
        <v>23060</v>
      </c>
      <c r="N168" s="495">
        <f t="shared" ca="1" si="88"/>
        <v>23060</v>
      </c>
      <c r="O168" s="495">
        <f t="shared" ca="1" si="85"/>
        <v>100</v>
      </c>
      <c r="P168" s="495">
        <f t="shared" ca="1" si="86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IFERROR(__xludf.DUMMYFUNCTION("IMPORTRANGE(""https://docs.google.com/spreadsheets/d/1MeEWN-I1oV_STSDYn1IFDPWt_1FKiwhDph83XaGc0o0/edit?usp=sharing"",""งบพรบ!CE68"")"),23060)</f>
        <v>23060</v>
      </c>
      <c r="M170" s="90">
        <f ca="1">IFERROR(__xludf.DUMMYFUNCTION("IMPORTRANGE(""https://docs.google.com/spreadsheets/d/1MeEWN-I1oV_STSDYn1IFDPWt_1FKiwhDph83XaGc0o0/edit?usp=sharing"",""งบพรบ!CJ68"")"),23060)</f>
        <v>23060</v>
      </c>
      <c r="N170" s="90">
        <f ca="1">IFERROR(__xludf.DUMMYFUNCTION("IMPORTRANGE(""https://docs.google.com/spreadsheets/d/1MeEWN-I1oV_STSDYn1IFDPWt_1FKiwhDph83XaGc0o0/edit?usp=sharing"",""งบพรบ!CL68"")"),23060)</f>
        <v>23060</v>
      </c>
      <c r="O170" s="90">
        <f t="shared" ca="1" si="85"/>
        <v>100</v>
      </c>
      <c r="P170" s="90">
        <f t="shared" ca="1" si="86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IFERROR(__xludf.DUMMYFUNCTION("IMPORTRANGE(""https://docs.google.com/spreadsheets/d/1MeEWN-I1oV_STSDYn1IFDPWt_1FKiwhDph83XaGc0o0/edit?usp=sharing"",""งบพรบ!CH68"")"),0)</f>
        <v>0</v>
      </c>
      <c r="M173" s="90">
        <f ca="1">IFERROR(__xludf.DUMMYFUNCTION("IMPORTRANGE(""https://docs.google.com/spreadsheets/d/1MeEWN-I1oV_STSDYn1IFDPWt_1FKiwhDph83XaGc0o0/edit?usp=sharing"",""งบพรบ!CK68"")"),0)</f>
        <v>0</v>
      </c>
      <c r="N173" s="90">
        <f ca="1">IFERROR(__xludf.DUMMYFUNCTION("IMPORTRANGE(""https://docs.google.com/spreadsheets/d/1MeEWN-I1oV_STSDYn1IFDPWt_1FKiwhDph83XaGc0o0/edit?usp=sharing"",""งบพรบ!CM68"")"),0)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12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IFERROR(__xludf.DUMMYFUNCTION("IMPORTRANGE(""https://docs.google.com/spreadsheets/d/1QqKyyYR6Q21VydFLVH3TRQUabQu_ym0Zz7PgGX0-kHA/edit?usp=sharing"",""แผน!Y68"")"),12)</f>
        <v>12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89000</v>
      </c>
      <c r="M181" s="150">
        <f t="shared" ca="1" si="91"/>
        <v>39000</v>
      </c>
      <c r="N181" s="150">
        <f t="shared" ca="1" si="91"/>
        <v>0</v>
      </c>
      <c r="O181" s="150">
        <f t="shared" ref="O181:O189" ca="1" si="92">IF(L181&gt;0,N181*100/L181,0)</f>
        <v>0</v>
      </c>
      <c r="P181" s="150">
        <f t="shared" ref="P181:P189" ca="1" si="93">IF(M181&gt;0,N181*100/M181,0)</f>
        <v>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89000</v>
      </c>
      <c r="M183" s="90">
        <f t="shared" ca="1" si="94"/>
        <v>39000</v>
      </c>
      <c r="N183" s="90">
        <f t="shared" ca="1" si="94"/>
        <v>0</v>
      </c>
      <c r="O183" s="90">
        <f t="shared" ca="1" si="92"/>
        <v>0</v>
      </c>
      <c r="P183" s="90">
        <f t="shared" ca="1" si="93"/>
        <v>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89000</v>
      </c>
      <c r="M184" s="495">
        <f t="shared" ca="1" si="95"/>
        <v>39000</v>
      </c>
      <c r="N184" s="495">
        <f t="shared" ca="1" si="95"/>
        <v>0</v>
      </c>
      <c r="O184" s="495">
        <f t="shared" ca="1" si="92"/>
        <v>0</v>
      </c>
      <c r="P184" s="495">
        <f t="shared" ca="1" si="93"/>
        <v>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IFERROR(__xludf.DUMMYFUNCTION("IMPORTRANGE(""https://docs.google.com/spreadsheets/d/1MeEWN-I1oV_STSDYn1IFDPWt_1FKiwhDph83XaGc0o0/edit?usp=sharing"",""งบพรบ!CO68"")"),89000)</f>
        <v>89000</v>
      </c>
      <c r="M186" s="90">
        <f ca="1">IFERROR(__xludf.DUMMYFUNCTION("IMPORTRANGE(""https://docs.google.com/spreadsheets/d/1MeEWN-I1oV_STSDYn1IFDPWt_1FKiwhDph83XaGc0o0/edit?usp=sharing"",""งบพรบ!CT68"")"),39000)</f>
        <v>39000</v>
      </c>
      <c r="N186" s="90">
        <f ca="1">IFERROR(__xludf.DUMMYFUNCTION("IMPORTRANGE(""https://docs.google.com/spreadsheets/d/1MeEWN-I1oV_STSDYn1IFDPWt_1FKiwhDph83XaGc0o0/edit?usp=sharing"",""งบพรบ!CV68"")"),0)</f>
        <v>0</v>
      </c>
      <c r="O186" s="90">
        <f t="shared" ca="1" si="92"/>
        <v>0</v>
      </c>
      <c r="P186" s="90">
        <f t="shared" ca="1" si="93"/>
        <v>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IFERROR(__xludf.DUMMYFUNCTION("IMPORTRANGE(""https://docs.google.com/spreadsheets/d/1MeEWN-I1oV_STSDYn1IFDPWt_1FKiwhDph83XaGc0o0/edit?usp=sharing"",""งบพรบ!CR68"")"),0)</f>
        <v>0</v>
      </c>
      <c r="M189" s="90">
        <f ca="1">IFERROR(__xludf.DUMMYFUNCTION("IMPORTRANGE(""https://docs.google.com/spreadsheets/d/1MeEWN-I1oV_STSDYn1IFDPWt_1FKiwhDph83XaGc0o0/edit?usp=sharing"",""งบพรบ!CU68"")"),0)</f>
        <v>0</v>
      </c>
      <c r="N189" s="90">
        <f ca="1">IFERROR(__xludf.DUMMYFUNCTION("IMPORTRANGE(""https://docs.google.com/spreadsheets/d/1MeEWN-I1oV_STSDYn1IFDPWt_1FKiwhDph83XaGc0o0/edit?usp=sharing"",""งบพรบ!CW68"")"),0)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IFERROR(__xludf.DUMMYFUNCTION("IMPORTRANGE(""https://docs.google.com/spreadsheets/d/1QqKyyYR6Q21VydFLVH3TRQUabQu_ym0Zz7PgGX0-kHA/edit?usp=sharing"",""แผน!Z68"")"),6000)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IFERROR(__xludf.DUMMYFUNCTION("IMPORTRANGE(""https://docs.google.com/spreadsheets/d/1QqKyyYR6Q21VydFLVH3TRQUabQu_ym0Zz7PgGX0-kHA/edit?usp=sharing"",""แผน!AC68"")"),4)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4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52000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IFERROR(__xludf.DUMMYFUNCTION("IMPORTRANGE(""https://docs.google.com/spreadsheets/d/1QqKyyYR6Q21VydFLVH3TRQUabQu_ym0Zz7PgGX0-kHA/edit?usp=sharing"",""แผน!AE68"")"),4000)</f>
        <v>4000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IFERROR(__xludf.DUMMYFUNCTION("IMPORTRANGE(""https://docs.google.com/spreadsheets/d/1QqKyyYR6Q21VydFLVH3TRQUabQu_ym0Zz7PgGX0-kHA/edit?usp=sharing"",""แผน!AF68"")"),32000)</f>
        <v>32000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IFERROR(__xludf.DUMMYFUNCTION("IMPORTRANGE(""https://docs.google.com/spreadsheets/d/1QqKyyYR6Q21VydFLVH3TRQUabQu_ym0Zz7PgGX0-kHA/edit?usp=sharing"",""แผน!AG68"")"),16000)</f>
        <v>16000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IFERROR(__xludf.DUMMYFUNCTION("IMPORTRANGE(""https://docs.google.com/spreadsheets/d/1QqKyyYR6Q21VydFLVH3TRQUabQu_ym0Zz7PgGX0-kHA/edit?usp=sharing"",""แผน!AH68"")"),0)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IFERROR(__xludf.DUMMYFUNCTION("IMPORTRANGE(""https://docs.google.com/spreadsheets/d/1QqKyyYR6Q21VydFLVH3TRQUabQu_ym0Zz7PgGX0-kHA/edit?usp=sharing"",""แผน!AI68"")"),4)</f>
        <v>4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4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IFERROR(__xludf.DUMMYFUNCTION("IMPORTRANGE(""https://docs.google.com/spreadsheets/d/1QqKyyYR6Q21VydFLVH3TRQUabQu_ym0Zz7PgGX0-kHA/edit?usp=sharing"",""แผน!AK68"")"),0)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IFERROR(__xludf.DUMMYFUNCTION("IMPORTRANGE(""https://docs.google.com/spreadsheets/d/1QqKyyYR6Q21VydFLVH3TRQUabQu_ym0Zz7PgGX0-kHA/edit?usp=sharing"",""แผน!AL68"")"),0)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IFERROR(__xludf.DUMMYFUNCTION("IMPORTRANGE(""https://docs.google.com/spreadsheets/d/1QqKyyYR6Q21VydFLVH3TRQUabQu_ym0Zz7PgGX0-kHA/edit?usp=sharing"",""แผน!AM68"")"),0)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IFERROR(__xludf.DUMMYFUNCTION("IMPORTRANGE(""https://docs.google.com/spreadsheets/d/1QqKyyYR6Q21VydFLVH3TRQUabQu_ym0Zz7PgGX0-kHA/edit?usp=sharing"",""แผน!AN68"")"),0)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IFERROR(__xludf.DUMMYFUNCTION("IMPORTRANGE(""https://docs.google.com/spreadsheets/d/1QqKyyYR6Q21VydFLVH3TRQUabQu_ym0Zz7PgGX0-kHA/edit?usp=sharing"",""แผน!AN68"")"),0)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100000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31000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IFERROR(__xludf.DUMMYFUNCTION("IMPORTRANGE(""https://docs.google.com/spreadsheets/d/1QqKyyYR6Q21VydFLVH3TRQUabQu_ym0Zz7PgGX0-kHA/edit?usp=sharing"",""แผน!AP68"")"),6000)</f>
        <v>6000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IFERROR(__xludf.DUMMYFUNCTION("IMPORTRANGE(""https://docs.google.com/spreadsheets/d/1QqKyyYR6Q21VydFLVH3TRQUabQu_ym0Zz7PgGX0-kHA/edit?usp=sharing"",""แผน!AQ68"")"),25000)</f>
        <v>25000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IFERROR(__xludf.DUMMYFUNCTION("IMPORTRANGE(""https://docs.google.com/spreadsheets/d/1QqKyyYR6Q21VydFLVH3TRQUabQu_ym0Zz7PgGX0-kHA/edit?usp=sharing"",""แผน!AR68"")"),0)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IFERROR(__xludf.DUMMYFUNCTION("IMPORTRANGE(""https://docs.google.com/spreadsheets/d/1QqKyyYR6Q21VydFLVH3TRQUabQu_ym0Zz7PgGX0-kHA/edit?usp=sharing"",""แผน!AT68"")"),100000)</f>
        <v>100000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IFERROR(__xludf.DUMMYFUNCTION("IMPORTRANGE(""https://docs.google.com/spreadsheets/d/1QqKyyYR6Q21VydFLVH3TRQUabQu_ym0Zz7PgGX0-kHA/edit?usp=sharing"",""แผน!AT68"")"),100000)</f>
        <v>100000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IFERROR(__xludf.DUMMYFUNCTION("IMPORTRANGE(""https://docs.google.com/spreadsheets/d/1QqKyyYR6Q21VydFLVH3TRQUabQu_ym0Zz7PgGX0-kHA/edit?usp=sharing"",""แผน!AS68"")"),0)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0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IFERROR(__xludf.DUMMYFUNCTION("IMPORTRANGE(""https://docs.google.com/spreadsheets/d/1QqKyyYR6Q21VydFLVH3TRQUabQu_ym0Zz7PgGX0-kHA/edit?usp=sharing"",""แผน!AV68"")"),0)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IFERROR(__xludf.DUMMYFUNCTION("IMPORTRANGE(""https://docs.google.com/spreadsheets/d/1QqKyyYR6Q21VydFLVH3TRQUabQu_ym0Zz7PgGX0-kHA/edit?usp=sharing"",""แผน!AW68"")"),0)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IFERROR(__xludf.DUMMYFUNCTION("IMPORTRANGE(""https://docs.google.com/spreadsheets/d/1QqKyyYR6Q21VydFLVH3TRQUabQu_ym0Zz7PgGX0-kHA/edit?usp=sharing"",""แผน!AX68"")"),0)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IFERROR(__xludf.DUMMYFUNCTION("IMPORTRANGE(""https://docs.google.com/spreadsheets/d/1QqKyyYR6Q21VydFLVH3TRQUabQu_ym0Zz7PgGX0-kHA/edit?usp=sharing"",""แผน!AY68"")"),0)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IFERROR(__xludf.DUMMYFUNCTION("IMPORTRANGE(""https://docs.google.com/spreadsheets/d/1QqKyyYR6Q21VydFLVH3TRQUabQu_ym0Zz7PgGX0-kHA/edit?usp=sharing"",""แผน!BE68"")"),0)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IFERROR(__xludf.DUMMYFUNCTION("IMPORTRANGE(""https://docs.google.com/spreadsheets/d/1QqKyyYR6Q21VydFLVH3TRQUabQu_ym0Zz7PgGX0-kHA/edit?usp=sharing"",""แผน!AZ68"")"),0)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IFERROR(__xludf.DUMMYFUNCTION("IMPORTRANGE(""https://docs.google.com/spreadsheets/d/1QqKyyYR6Q21VydFLVH3TRQUabQu_ym0Zz7PgGX0-kHA/edit?usp=sharing"",""แผน!BA68"")"),0)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IFERROR(__xludf.DUMMYFUNCTION("IMPORTRANGE(""https://docs.google.com/spreadsheets/d/1QqKyyYR6Q21VydFLVH3TRQUabQu_ym0Zz7PgGX0-kHA/edit?usp=sharing"",""แผน!BB68"")"),0)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IFERROR(__xludf.DUMMYFUNCTION("IMPORTRANGE(""https://docs.google.com/spreadsheets/d/1QqKyyYR6Q21VydFLVH3TRQUabQu_ym0Zz7PgGX0-kHA/edit?usp=sharing"",""แผน!BC68"")"),0)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IFERROR(__xludf.DUMMYFUNCTION("IMPORTRANGE(""https://docs.google.com/spreadsheets/d/1QqKyyYR6Q21VydFLVH3TRQUabQu_ym0Zz7PgGX0-kHA/edit?usp=sharing"",""แผน!BF68"")"),"")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IFERROR(__xludf.DUMMYFUNCTION("IMPORTRANGE(""https://docs.google.com/spreadsheets/d/1MeEWN-I1oV_STSDYn1IFDPWt_1FKiwhDph83XaGc0o0/edit?usp=sharing"",""งบพรบ!CY68"")"),26900)</f>
        <v>26900</v>
      </c>
      <c r="M266" s="90">
        <f ca="1">IFERROR(__xludf.DUMMYFUNCTION("IMPORTRANGE(""https://docs.google.com/spreadsheets/d/1MeEWN-I1oV_STSDYn1IFDPWt_1FKiwhDph83XaGc0o0/edit?usp=sharing"",""งบพรบ!DD68"")"),0)</f>
        <v>0</v>
      </c>
      <c r="N266" s="90">
        <f ca="1">IFERROR(__xludf.DUMMYFUNCTION("IMPORTRANGE(""https://docs.google.com/spreadsheets/d/1MeEWN-I1oV_STSDYn1IFDPWt_1FKiwhDph83XaGc0o0/edit?usp=sharing"",""งบพรบ!DF68"")"),0)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IFERROR(__xludf.DUMMYFUNCTION("IMPORTRANGE(""https://docs.google.com/spreadsheets/d/1MeEWN-I1oV_STSDYn1IFDPWt_1FKiwhDph83XaGc0o0/edit?usp=sharing"",""งบพรบ!DB68"")"),0)</f>
        <v>0</v>
      </c>
      <c r="M269" s="90">
        <f ca="1">IFERROR(__xludf.DUMMYFUNCTION("IMPORTRANGE(""https://docs.google.com/spreadsheets/d/1MeEWN-I1oV_STSDYn1IFDPWt_1FKiwhDph83XaGc0o0/edit?usp=sharing"",""งบพรบ!DE68"")"),0)</f>
        <v>0</v>
      </c>
      <c r="N269" s="90">
        <f ca="1">IFERROR(__xludf.DUMMYFUNCTION("IMPORTRANGE(""https://docs.google.com/spreadsheets/d/1MeEWN-I1oV_STSDYn1IFDPWt_1FKiwhDph83XaGc0o0/edit?usp=sharing"",""งบพรบ!DG68"")"),0)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IFERROR(__xludf.DUMMYFUNCTION("IMPORTRANGE(""https://docs.google.com/spreadsheets/d/1QqKyyYR6Q21VydFLVH3TRQUabQu_ym0Zz7PgGX0-kHA/edit?usp=sharing"",""แผน!EA68"")"),22)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60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600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216980</v>
      </c>
      <c r="M277" s="151">
        <f t="shared" ca="1" si="124"/>
        <v>90920</v>
      </c>
      <c r="N277" s="151">
        <f t="shared" ca="1" si="124"/>
        <v>740</v>
      </c>
      <c r="O277" s="151">
        <f t="shared" ref="O277:O285" ca="1" si="125">IF(L277&gt;0,N277*100/L277,0)</f>
        <v>0.3410452576274311</v>
      </c>
      <c r="P277" s="151">
        <f t="shared" ref="P277:P285" ca="1" si="126">IF(M277&gt;0,N277*100/M277,0)</f>
        <v>0.81390233172019355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216980</v>
      </c>
      <c r="M279" s="90">
        <f t="shared" ca="1" si="127"/>
        <v>90920</v>
      </c>
      <c r="N279" s="90">
        <f t="shared" ca="1" si="127"/>
        <v>740</v>
      </c>
      <c r="O279" s="90">
        <f t="shared" ca="1" si="125"/>
        <v>0.3410452576274311</v>
      </c>
      <c r="P279" s="90">
        <f t="shared" ca="1" si="126"/>
        <v>0.81390233172019355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216980</v>
      </c>
      <c r="M280" s="495">
        <f t="shared" ca="1" si="128"/>
        <v>90920</v>
      </c>
      <c r="N280" s="495">
        <f t="shared" ca="1" si="128"/>
        <v>740</v>
      </c>
      <c r="O280" s="495">
        <f t="shared" ca="1" si="125"/>
        <v>0.3410452576274311</v>
      </c>
      <c r="P280" s="495">
        <f t="shared" ca="1" si="126"/>
        <v>0.81390233172019355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IFERROR(__xludf.DUMMYFUNCTION("IMPORTRANGE(""https://docs.google.com/spreadsheets/d/1MeEWN-I1oV_STSDYn1IFDPWt_1FKiwhDph83XaGc0o0/edit?usp=sharing"",""งบพรบ!DI68"")"),216980)</f>
        <v>216980</v>
      </c>
      <c r="M282" s="90">
        <f ca="1">IFERROR(__xludf.DUMMYFUNCTION("IMPORTRANGE(""https://docs.google.com/spreadsheets/d/1MeEWN-I1oV_STSDYn1IFDPWt_1FKiwhDph83XaGc0o0/edit?usp=sharing"",""งบพรบ!DN68"")"),90920)</f>
        <v>90920</v>
      </c>
      <c r="N282" s="90">
        <f ca="1">IFERROR(__xludf.DUMMYFUNCTION("IMPORTRANGE(""https://docs.google.com/spreadsheets/d/1MeEWN-I1oV_STSDYn1IFDPWt_1FKiwhDph83XaGc0o0/edit?usp=sharing"",""งบพรบ!DP68"")"),740)</f>
        <v>740</v>
      </c>
      <c r="O282" s="90">
        <f t="shared" ca="1" si="125"/>
        <v>0.3410452576274311</v>
      </c>
      <c r="P282" s="90">
        <f t="shared" ca="1" si="126"/>
        <v>0.81390233172019355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IFERROR(__xludf.DUMMYFUNCTION("IMPORTRANGE(""https://docs.google.com/spreadsheets/d/1MeEWN-I1oV_STSDYn1IFDPWt_1FKiwhDph83XaGc0o0/edit?usp=sharing"",""งบพรบ!DL68"")"),0)</f>
        <v>0</v>
      </c>
      <c r="M285" s="90">
        <f ca="1">IFERROR(__xludf.DUMMYFUNCTION("IMPORTRANGE(""https://docs.google.com/spreadsheets/d/1MeEWN-I1oV_STSDYn1IFDPWt_1FKiwhDph83XaGc0o0/edit?usp=sharing"",""งบพรบ!DO68"")"),0)</f>
        <v>0</v>
      </c>
      <c r="N285" s="90">
        <f ca="1">IFERROR(__xludf.DUMMYFUNCTION("IMPORTRANGE(""https://docs.google.com/spreadsheets/d/1MeEWN-I1oV_STSDYn1IFDPWt_1FKiwhDph83XaGc0o0/edit?usp=sharing"",""งบพรบ!DQ68"")"),0)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IFERROR(__xludf.DUMMYFUNCTION("IMPORTRANGE(""https://docs.google.com/spreadsheets/d/1QqKyyYR6Q21VydFLVH3TRQUabQu_ym0Zz7PgGX0-kHA/edit?usp=sharing"",""แผน!EC68"")"),600)</f>
        <v>600</v>
      </c>
      <c r="J287" s="210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IFERROR(__xludf.DUMMYFUNCTION("IMPORTRANGE(""https://docs.google.com/spreadsheets/d/1QqKyyYR6Q21VydFLVH3TRQUabQu_ym0Zz7PgGX0-kHA/edit?usp=sharing"",""แผน!EB68"")"),60)</f>
        <v>60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IFERROR(__xludf.DUMMYFUNCTION("IMPORTRANGE(""https://docs.google.com/spreadsheets/d/1QqKyyYR6Q21VydFLVH3TRQUabQu_ym0Zz7PgGX0-kHA/edit?usp=sharing"",""แผน!EB68"")"),60)</f>
        <v>60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>
      <c r="A291" s="166"/>
      <c r="B291" s="167"/>
      <c r="C291" s="167"/>
      <c r="D291" s="174"/>
      <c r="E291" s="618" t="s">
        <v>133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IFERROR(__xludf.DUMMYFUNCTION("IMPORTRANGE(""https://docs.google.com/spreadsheets/d/1QqKyyYR6Q21VydFLVH3TRQUabQu_ym0Zz7PgGX0-kHA/edit?usp=sharing"",""แผน!EB68"")"),60)</f>
        <v>60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IFERROR(__xludf.DUMMYFUNCTION("IMPORTRANGE(""https://docs.google.com/spreadsheets/d/1QqKyyYR6Q21VydFLVH3TRQUabQu_ym0Zz7PgGX0-kHA/edit?usp=sharing"",""แผน!EB68"")"),60)</f>
        <v>60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>
      <c r="A294" s="375"/>
      <c r="B294" s="376"/>
      <c r="C294" s="376"/>
      <c r="D294" s="378"/>
      <c r="E294" s="724" t="s">
        <v>136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IFERROR(__xludf.DUMMYFUNCTION("IMPORTRANGE(""https://docs.google.com/spreadsheets/d/1QqKyyYR6Q21VydFLVH3TRQUabQu_ym0Zz7PgGX0-kHA/edit?usp=sharing"",""แผน!EB68"")"),60)</f>
        <v>60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25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101000</v>
      </c>
      <c r="M298" s="151">
        <f t="shared" ca="1" si="134"/>
        <v>60400</v>
      </c>
      <c r="N298" s="151">
        <f t="shared" ca="1" si="134"/>
        <v>12020</v>
      </c>
      <c r="O298" s="151">
        <f t="shared" ref="O298:O306" ca="1" si="135">IF(L298&gt;0,N298*100/L298,0)</f>
        <v>11.900990099009901</v>
      </c>
      <c r="P298" s="151">
        <f t="shared" ref="P298:P306" ca="1" si="136">IF(M298&gt;0,N298*100/M298,0)</f>
        <v>19.900662251655628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101000</v>
      </c>
      <c r="M300" s="90">
        <f t="shared" ca="1" si="137"/>
        <v>60400</v>
      </c>
      <c r="N300" s="90">
        <f t="shared" ca="1" si="137"/>
        <v>12020</v>
      </c>
      <c r="O300" s="90">
        <f t="shared" ca="1" si="135"/>
        <v>11.900990099009901</v>
      </c>
      <c r="P300" s="90">
        <f t="shared" ca="1" si="136"/>
        <v>19.900662251655628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101000</v>
      </c>
      <c r="M301" s="495">
        <f t="shared" ca="1" si="138"/>
        <v>60400</v>
      </c>
      <c r="N301" s="495">
        <f t="shared" ca="1" si="138"/>
        <v>12020</v>
      </c>
      <c r="O301" s="495">
        <f t="shared" ca="1" si="135"/>
        <v>11.900990099009901</v>
      </c>
      <c r="P301" s="495">
        <f t="shared" ca="1" si="136"/>
        <v>19.900662251655628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IFERROR(__xludf.DUMMYFUNCTION("IMPORTRANGE(""https://docs.google.com/spreadsheets/d/1MeEWN-I1oV_STSDYn1IFDPWt_1FKiwhDph83XaGc0o0/edit?usp=sharing"",""งบพรบ!DS68"")"),101000)</f>
        <v>101000</v>
      </c>
      <c r="M303" s="90">
        <f ca="1">IFERROR(__xludf.DUMMYFUNCTION("IMPORTRANGE(""https://docs.google.com/spreadsheets/d/1MeEWN-I1oV_STSDYn1IFDPWt_1FKiwhDph83XaGc0o0/edit?usp=sharing"",""งบพรบ!DX68"")"),60400)</f>
        <v>60400</v>
      </c>
      <c r="N303" s="90">
        <f ca="1">IFERROR(__xludf.DUMMYFUNCTION("IMPORTRANGE(""https://docs.google.com/spreadsheets/d/1MeEWN-I1oV_STSDYn1IFDPWt_1FKiwhDph83XaGc0o0/edit?usp=sharing"",""งบพรบ!DZ68"")"),12020)</f>
        <v>12020</v>
      </c>
      <c r="O303" s="90">
        <f t="shared" ca="1" si="135"/>
        <v>11.900990099009901</v>
      </c>
      <c r="P303" s="90">
        <f t="shared" ca="1" si="136"/>
        <v>19.900662251655628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IFERROR(__xludf.DUMMYFUNCTION("IMPORTRANGE(""https://docs.google.com/spreadsheets/d/1MeEWN-I1oV_STSDYn1IFDPWt_1FKiwhDph83XaGc0o0/edit?usp=sharing"",""งบพรบ!DV68"")"),0)</f>
        <v>0</v>
      </c>
      <c r="M306" s="90">
        <f ca="1">IFERROR(__xludf.DUMMYFUNCTION("IMPORTRANGE(""https://docs.google.com/spreadsheets/d/1MeEWN-I1oV_STSDYn1IFDPWt_1FKiwhDph83XaGc0o0/edit?usp=sharing"",""งบพรบ!DY68"")"),0)</f>
        <v>0</v>
      </c>
      <c r="N306" s="90">
        <f ca="1">IFERROR(__xludf.DUMMYFUNCTION("IMPORTRANGE(""https://docs.google.com/spreadsheets/d/1MeEWN-I1oV_STSDYn1IFDPWt_1FKiwhDph83XaGc0o0/edit?usp=sharing"",""งบพรบ!EA68"")"),0)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IFERROR(__xludf.DUMMYFUNCTION("IMPORTRANGE(""https://docs.google.com/spreadsheets/d/1QqKyyYR6Q21VydFLVH3TRQUabQu_ym0Zz7PgGX0-kHA/edit?usp=sharing"",""แผน!ED68"")"),25)</f>
        <v>25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IFERROR(__xludf.DUMMYFUNCTION("IMPORTRANGE(""https://docs.google.com/spreadsheets/d/1QqKyyYR6Q21VydFLVH3TRQUabQu_ym0Zz7PgGX0-kHA/edit?usp=sharing"",""แผน!ED68"")"),25)</f>
        <v>25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IFERROR(__xludf.DUMMYFUNCTION("IMPORTRANGE(""https://docs.google.com/spreadsheets/d/1QqKyyYR6Q21VydFLVH3TRQUabQu_ym0Zz7PgGX0-kHA/edit?usp=sharing"",""แผน!ED68"")"),25)</f>
        <v>25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IFERROR(__xludf.DUMMYFUNCTION("IMPORTRANGE(""https://docs.google.com/spreadsheets/d/1QqKyyYR6Q21VydFLVH3TRQUabQu_ym0Zz7PgGX0-kHA/edit?usp=sharing"",""แผน!EE68"")"),5)</f>
        <v>5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IFERROR(__xludf.DUMMYFUNCTION("IMPORTRANGE(""https://docs.google.com/spreadsheets/d/1MeEWN-I1oV_STSDYn1IFDPWt_1FKiwhDph83XaGc0o0/edit?usp=sharing"",""งบพรบ!EC68"")"),0)</f>
        <v>0</v>
      </c>
      <c r="M320" s="90">
        <f ca="1">IFERROR(__xludf.DUMMYFUNCTION("IMPORTRANGE(""https://docs.google.com/spreadsheets/d/1MeEWN-I1oV_STSDYn1IFDPWt_1FKiwhDph83XaGc0o0/edit?usp=sharing"",""งบพรบ!EH68"")"),0)</f>
        <v>0</v>
      </c>
      <c r="N320" s="90">
        <f ca="1">IFERROR(__xludf.DUMMYFUNCTION("IMPORTRANGE(""https://docs.google.com/spreadsheets/d/1MeEWN-I1oV_STSDYn1IFDPWt_1FKiwhDph83XaGc0o0/edit?usp=sharing"",""งบพรบ!EJ68"")"),0)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IFERROR(__xludf.DUMMYFUNCTION("IMPORTRANGE(""https://docs.google.com/spreadsheets/d/1MeEWN-I1oV_STSDYn1IFDPWt_1FKiwhDph83XaGc0o0/edit?usp=sharing"",""งบพรบ!EF68"")"),0)</f>
        <v>0</v>
      </c>
      <c r="M323" s="90">
        <f ca="1">IFERROR(__xludf.DUMMYFUNCTION("IMPORTRANGE(""https://docs.google.com/spreadsheets/d/1MeEWN-I1oV_STSDYn1IFDPWt_1FKiwhDph83XaGc0o0/edit?usp=sharing"",""งบพรบ!EI68"")"),0)</f>
        <v>0</v>
      </c>
      <c r="N323" s="90">
        <f ca="1">IFERROR(__xludf.DUMMYFUNCTION("IMPORTRANGE(""https://docs.google.com/spreadsheets/d/1MeEWN-I1oV_STSDYn1IFDPWt_1FKiwhDph83XaGc0o0/edit?usp=sharing"",""งบพรบ!EK68"")"),0)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IFERROR(__xludf.DUMMYFUNCTION("IMPORTRANGE(""https://docs.google.com/spreadsheets/d/1QqKyyYR6Q21VydFLVH3TRQUabQu_ym0Zz7PgGX0-kHA/edit?usp=sharing"",""แผน!EF68"")"),0)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IFERROR(__xludf.DUMMYFUNCTION("IMPORTRANGE(""https://docs.google.com/spreadsheets/d/1QqKyyYR6Q21VydFLVH3TRQUabQu_ym0Zz7PgGX0-kHA/edit?usp=sharing"",""แผน!EG68"")"),2100)</f>
        <v>2100</v>
      </c>
      <c r="J327" s="442">
        <f ca="1">J338+J341+J342+J343</f>
        <v>537</v>
      </c>
      <c r="K327" s="443">
        <f ca="1">IF(I327&gt;0,J327*100/I327,0)</f>
        <v>25.571428571428573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170000</v>
      </c>
      <c r="M328" s="151">
        <f t="shared" ca="1" si="148"/>
        <v>85000</v>
      </c>
      <c r="N328" s="151">
        <f t="shared" ca="1" si="148"/>
        <v>18673</v>
      </c>
      <c r="O328" s="151">
        <f t="shared" ref="O328:O336" ca="1" si="149">IF(L328&gt;0,N328*100/L328,0)</f>
        <v>10.984117647058824</v>
      </c>
      <c r="P328" s="151">
        <f t="shared" ref="P328:P336" ca="1" si="150">IF(M328&gt;0,N328*100/M328,0)</f>
        <v>21.968235294117648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170000</v>
      </c>
      <c r="M330" s="90">
        <f t="shared" ca="1" si="151"/>
        <v>85000</v>
      </c>
      <c r="N330" s="90">
        <f t="shared" ca="1" si="151"/>
        <v>18673</v>
      </c>
      <c r="O330" s="90">
        <f t="shared" ca="1" si="149"/>
        <v>10.984117647058824</v>
      </c>
      <c r="P330" s="90">
        <f t="shared" ca="1" si="150"/>
        <v>21.968235294117648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170000</v>
      </c>
      <c r="M331" s="495">
        <f t="shared" ca="1" si="152"/>
        <v>85000</v>
      </c>
      <c r="N331" s="495">
        <f t="shared" ca="1" si="152"/>
        <v>18673</v>
      </c>
      <c r="O331" s="495">
        <f t="shared" ca="1" si="149"/>
        <v>10.984117647058824</v>
      </c>
      <c r="P331" s="495">
        <f t="shared" ca="1" si="150"/>
        <v>21.968235294117648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IFERROR(__xludf.DUMMYFUNCTION("IMPORTRANGE(""https://docs.google.com/spreadsheets/d/1MeEWN-I1oV_STSDYn1IFDPWt_1FKiwhDph83XaGc0o0/edit?usp=sharing"",""งบพรบ!EM68"")"),170000)</f>
        <v>170000</v>
      </c>
      <c r="M333" s="90">
        <f ca="1">IFERROR(__xludf.DUMMYFUNCTION("IMPORTRANGE(""https://docs.google.com/spreadsheets/d/1MeEWN-I1oV_STSDYn1IFDPWt_1FKiwhDph83XaGc0o0/edit?usp=sharing"",""งบพรบ!ER68"")"),85000)</f>
        <v>85000</v>
      </c>
      <c r="N333" s="90">
        <f ca="1">IFERROR(__xludf.DUMMYFUNCTION("IMPORTRANGE(""https://docs.google.com/spreadsheets/d/1MeEWN-I1oV_STSDYn1IFDPWt_1FKiwhDph83XaGc0o0/edit?usp=sharing"",""งบพรบ!ET68"")"),18673)</f>
        <v>18673</v>
      </c>
      <c r="O333" s="90">
        <f t="shared" ca="1" si="149"/>
        <v>10.984117647058824</v>
      </c>
      <c r="P333" s="90">
        <f t="shared" ca="1" si="150"/>
        <v>21.968235294117648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IFERROR(__xludf.DUMMYFUNCTION("IMPORTRANGE(""https://docs.google.com/spreadsheets/d/1MeEWN-I1oV_STSDYn1IFDPWt_1FKiwhDph83XaGc0o0/edit?usp=sharing"",""งบพรบ!EP68"")"),0)</f>
        <v>0</v>
      </c>
      <c r="M336" s="90">
        <f ca="1">IFERROR(__xludf.DUMMYFUNCTION("IMPORTRANGE(""https://docs.google.com/spreadsheets/d/1MeEWN-I1oV_STSDYn1IFDPWt_1FKiwhDph83XaGc0o0/edit?usp=sharing"",""งบพรบ!ES68"")"),0)</f>
        <v>0</v>
      </c>
      <c r="N336" s="90">
        <f ca="1">IFERROR(__xludf.DUMMYFUNCTION("IMPORTRANGE(""https://docs.google.com/spreadsheets/d/1MeEWN-I1oV_STSDYn1IFDPWt_1FKiwhDph83XaGc0o0/edit?usp=sharing"",""งบพรบ!EU68"")"),0)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IFERROR(__xludf.DUMMYFUNCTION("IMPORTRANGE(""https://docs.google.com/spreadsheets/d/1QqKyyYR6Q21VydFLVH3TRQUabQu_ym0Zz7PgGX0-kHA/edit?usp=sharing"",""แผน!EG68"")"),2100)</f>
        <v>2100</v>
      </c>
      <c r="J338" s="264">
        <f ca="1">IFERROR(__xludf.DUMMYFUNCTION("IMPORTRANGE(""https://docs.google.com/spreadsheets/d/1kVcqe37tkHyjCSG3S0O1AXqVkqjo8mSIZil3BcpIysc/edit?usp=sharing"",""ศูนย์!D68"")"),537)</f>
        <v>537</v>
      </c>
      <c r="K338" s="495">
        <f ca="1">IF(I338&gt;0,J338*100/I338,0)</f>
        <v>25.571428571428573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IFERROR(__xludf.DUMMYFUNCTION("IMPORTRANGE(""https://docs.google.com/spreadsheets/d/1QqKyyYR6Q21VydFLVH3TRQUabQu_ym0Zz7PgGX0-kHA/edit?usp=sharing"",""แผน!EH68"")"),6)</f>
        <v>6</v>
      </c>
      <c r="J340" s="264">
        <f ca="1">IFERROR(__xludf.DUMMYFUNCTION("IMPORTRANGE(""https://docs.google.com/spreadsheets/d/1kVcqe37tkHyjCSG3S0O1AXqVkqjo8mSIZil3BcpIysc/edit?usp=sharing"",""ศูนย์!E68"")"),0)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IFERROR(__xludf.DUMMYFUNCTION("IMPORTRANGE(""https://docs.google.com/spreadsheets/d/1kVcqe37tkHyjCSG3S0O1AXqVkqjo8mSIZil3BcpIysc/edit?usp=sharing"",""ศูนย์!F68"")"),0)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IFERROR(__xludf.DUMMYFUNCTION("IMPORTRANGE(""https://docs.google.com/spreadsheets/d/1kVcqe37tkHyjCSG3S0O1AXqVkqjo8mSIZil3BcpIysc/edit?usp=sharing"",""ศูนย์!G68"")"),0)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IFERROR(__xludf.DUMMYFUNCTION("IMPORTRANGE(""https://docs.google.com/spreadsheets/d/1kVcqe37tkHyjCSG3S0O1AXqVkqjo8mSIZil3BcpIysc/edit?usp=sharing"",""ศูนย์!H68"")"),0)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773600</v>
      </c>
      <c r="M345" s="151">
        <f t="shared" ca="1" si="154"/>
        <v>413200</v>
      </c>
      <c r="N345" s="151">
        <f t="shared" ca="1" si="154"/>
        <v>157288</v>
      </c>
      <c r="O345" s="151">
        <f t="shared" ref="O345:O353" ca="1" si="155">IF(L345&gt;0,N345*100/L345,0)</f>
        <v>20.331954498448813</v>
      </c>
      <c r="P345" s="151">
        <f t="shared" ref="P345:P353" ca="1" si="156">IF(M345&gt;0,N345*100/M345,0)</f>
        <v>38.065827686350438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773600</v>
      </c>
      <c r="M347" s="90">
        <f t="shared" ca="1" si="157"/>
        <v>413200</v>
      </c>
      <c r="N347" s="90">
        <f t="shared" ca="1" si="157"/>
        <v>157288</v>
      </c>
      <c r="O347" s="90">
        <f t="shared" ca="1" si="155"/>
        <v>20.331954498448813</v>
      </c>
      <c r="P347" s="90">
        <f t="shared" ca="1" si="156"/>
        <v>38.065827686350438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720800</v>
      </c>
      <c r="M348" s="495">
        <f t="shared" ca="1" si="158"/>
        <v>360400</v>
      </c>
      <c r="N348" s="495">
        <f t="shared" ca="1" si="158"/>
        <v>104488</v>
      </c>
      <c r="O348" s="495">
        <f t="shared" ca="1" si="155"/>
        <v>14.496115427302996</v>
      </c>
      <c r="P348" s="495">
        <f t="shared" ca="1" si="156"/>
        <v>28.992230854605992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IFERROR(__xludf.DUMMYFUNCTION("IMPORTRANGE(""https://docs.google.com/spreadsheets/d/1MeEWN-I1oV_STSDYn1IFDPWt_1FKiwhDph83XaGc0o0/edit?usp=sharing"",""งบพรบ!EW68"")"),720800)</f>
        <v>720800</v>
      </c>
      <c r="M350" s="90">
        <f ca="1">IFERROR(__xludf.DUMMYFUNCTION("IMPORTRANGE(""https://docs.google.com/spreadsheets/d/1MeEWN-I1oV_STSDYn1IFDPWt_1FKiwhDph83XaGc0o0/edit?usp=sharing"",""งบพรบ!FB68"")"),360400)</f>
        <v>360400</v>
      </c>
      <c r="N350" s="90">
        <f ca="1">IFERROR(__xludf.DUMMYFUNCTION("IMPORTRANGE(""https://docs.google.com/spreadsheets/d/1MeEWN-I1oV_STSDYn1IFDPWt_1FKiwhDph83XaGc0o0/edit?usp=sharing"",""งบพรบ!FD68"")"),104488)</f>
        <v>104488</v>
      </c>
      <c r="O350" s="90">
        <f t="shared" ca="1" si="155"/>
        <v>14.496115427302996</v>
      </c>
      <c r="P350" s="90">
        <f t="shared" ca="1" si="156"/>
        <v>28.992230854605992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52800</v>
      </c>
      <c r="M351" s="495">
        <f t="shared" ca="1" si="159"/>
        <v>52800</v>
      </c>
      <c r="N351" s="495">
        <f t="shared" ca="1" si="159"/>
        <v>52800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IFERROR(__xludf.DUMMYFUNCTION("IMPORTRANGE(""https://docs.google.com/spreadsheets/d/1MeEWN-I1oV_STSDYn1IFDPWt_1FKiwhDph83XaGc0o0/edit?usp=sharing"",""งบพรบ!EZ68"")"),52800)</f>
        <v>52800</v>
      </c>
      <c r="M353" s="90">
        <f ca="1">IFERROR(__xludf.DUMMYFUNCTION("IMPORTRANGE(""https://docs.google.com/spreadsheets/d/1MeEWN-I1oV_STSDYn1IFDPWt_1FKiwhDph83XaGc0o0/edit?usp=sharing"",""งบพรบ!FC68"")"),52800)</f>
        <v>52800</v>
      </c>
      <c r="N353" s="90">
        <f ca="1">IFERROR(__xludf.DUMMYFUNCTION("IMPORTRANGE(""https://docs.google.com/spreadsheets/d/1MeEWN-I1oV_STSDYn1IFDPWt_1FKiwhDph83XaGc0o0/edit?usp=sharing"",""งบพรบ!FE68"")"),52800)</f>
        <v>52800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IFERROR(__xludf.DUMMYFUNCTION("IMPORTRANGE(""https://docs.google.com/spreadsheets/d/1QqKyyYR6Q21VydFLVH3TRQUabQu_ym0Zz7PgGX0-kHA/edit?usp=sharing"",""แผน!EP68"")"),370)</f>
        <v>370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IFERROR(__xludf.DUMMYFUNCTION("IMPORTRANGE(""https://docs.google.com/spreadsheets/d/1XWAQStnk-4SwqDmLtmXYiTMKHgktTP8We1SCoS47DrQ/edit?usp=sharing"",""จัดที่ดิน!W68"")"),80)</f>
        <v>80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IFERROR(__xludf.DUMMYFUNCTION("IMPORTRANGE(""https://docs.google.com/spreadsheets/d/1QqKyyYR6Q21VydFLVH3TRQUabQu_ym0Zz7PgGX0-kHA/edit?usp=sharing"",""แผน!EO68"")"),4000)</f>
        <v>4000</v>
      </c>
      <c r="J359" s="264">
        <f ca="1">IFERROR(__xludf.DUMMYFUNCTION("IMPORTRANGE(""https://docs.google.com/spreadsheets/d/1XWAQStnk-4SwqDmLtmXYiTMKHgktTP8We1SCoS47DrQ/edit?usp=sharing"",""จัดที่ดิน!X68"")"),995.53)</f>
        <v>995.53</v>
      </c>
      <c r="K359" s="495">
        <f t="shared" ca="1" si="160"/>
        <v>24.888249999999999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IFERROR(__xludf.DUMMYFUNCTION("IMPORTRANGE(""https://docs.google.com/spreadsheets/d/1QqKyyYR6Q21VydFLVH3TRQUabQu_ym0Zz7PgGX0-kHA/edit?usp=sharing"",""แผน!EP68"")"),370)</f>
        <v>370</v>
      </c>
      <c r="J360" s="264">
        <f ca="1">IFERROR(__xludf.DUMMYFUNCTION("IMPORTRANGE(""https://docs.google.com/spreadsheets/d/1XWAQStnk-4SwqDmLtmXYiTMKHgktTP8We1SCoS47DrQ/edit?usp=sharing"",""จัดที่ดิน!Y68"")"),64)</f>
        <v>64</v>
      </c>
      <c r="K360" s="495">
        <f t="shared" ca="1" si="160"/>
        <v>17.297297297297298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IFERROR(__xludf.DUMMYFUNCTION("IMPORTRANGE(""https://docs.google.com/spreadsheets/d/1XWAQStnk-4SwqDmLtmXYiTMKHgktTP8We1SCoS47DrQ/edit?usp=sharing"",""จัดที่ดิน!Z68"")"),857.88)</f>
        <v>857.88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IFERROR(__xludf.DUMMYFUNCTION("IMPORTRANGE(""https://docs.google.com/spreadsheets/d/1QqKyyYR6Q21VydFLVH3TRQUabQu_ym0Zz7PgGX0-kHA/edit?usp=sharing"",""แผน!EP68"")"),370)</f>
        <v>370</v>
      </c>
      <c r="J362" s="264">
        <f ca="1">IFERROR(__xludf.DUMMYFUNCTION("IMPORTRANGE(""https://docs.google.com/spreadsheets/d/1XWAQStnk-4SwqDmLtmXYiTMKHgktTP8We1SCoS47DrQ/edit?usp=sharing"",""จัดที่ดิน!AA68"")"),0)</f>
        <v>0</v>
      </c>
      <c r="K362" s="495">
        <f t="shared" ca="1" si="160"/>
        <v>0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IFERROR(__xludf.DUMMYFUNCTION("IMPORTRANGE(""https://docs.google.com/spreadsheets/d/1XWAQStnk-4SwqDmLtmXYiTMKHgktTP8We1SCoS47DrQ/edit?usp=sharing"",""จัดที่ดิน!AB68"")"),0)</f>
        <v>0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500</v>
      </c>
      <c r="J364" s="476">
        <f t="shared" ca="1" si="161"/>
        <v>0</v>
      </c>
      <c r="K364" s="477">
        <f t="shared" ca="1" si="160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IFERROR(__xludf.DUMMYFUNCTION("IMPORTRANGE(""https://docs.google.com/spreadsheets/d/1QqKyyYR6Q21VydFLVH3TRQUabQu_ym0Zz7PgGX0-kHA/edit?usp=sharing"",""แผน!EJ68"")"),20)</f>
        <v>20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IFERROR(__xludf.DUMMYFUNCTION("IMPORTRANGE(""https://docs.google.com/spreadsheets/d/1XWAQStnk-4SwqDmLtmXYiTMKHgktTP8We1SCoS47DrQ/edit?usp=sharing"",""จัดที่ดิน!E68"")"),10)</f>
        <v>10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IFERROR(__xludf.DUMMYFUNCTION("IMPORTRANGE(""https://docs.google.com/spreadsheets/d/1QqKyyYR6Q21VydFLVH3TRQUabQu_ym0Zz7PgGX0-kHA/edit?usp=sharing"",""แผน!EI68"")"),500)</f>
        <v>500</v>
      </c>
      <c r="J369" s="264">
        <f ca="1">IFERROR(__xludf.DUMMYFUNCTION("IMPORTRANGE(""https://docs.google.com/spreadsheets/d/1XWAQStnk-4SwqDmLtmXYiTMKHgktTP8We1SCoS47DrQ/edit?usp=sharing"",""จัดที่ดิน!F68"")"),75.82)</f>
        <v>75.819999999999993</v>
      </c>
      <c r="K369" s="495">
        <f t="shared" ca="1" si="162"/>
        <v>15.163999999999998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IFERROR(__xludf.DUMMYFUNCTION("IMPORTRANGE(""https://docs.google.com/spreadsheets/d/1QqKyyYR6Q21VydFLVH3TRQUabQu_ym0Zz7PgGX0-kHA/edit?usp=sharing"",""แผน!EJ68"")"),20)</f>
        <v>20</v>
      </c>
      <c r="J370" s="264">
        <f ca="1">IFERROR(__xludf.DUMMYFUNCTION("IMPORTRANGE(""https://docs.google.com/spreadsheets/d/1XWAQStnk-4SwqDmLtmXYiTMKHgktTP8We1SCoS47DrQ/edit?usp=sharing"",""จัดที่ดิน!G68"")"),1)</f>
        <v>1</v>
      </c>
      <c r="K370" s="495">
        <f t="shared" ca="1" si="162"/>
        <v>5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IFERROR(__xludf.DUMMYFUNCTION("IMPORTRANGE(""https://docs.google.com/spreadsheets/d/1XWAQStnk-4SwqDmLtmXYiTMKHgktTP8We1SCoS47DrQ/edit?usp=sharing"",""จัดที่ดิน!H68"")"),23.31)</f>
        <v>23.31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IFERROR(__xludf.DUMMYFUNCTION("IMPORTRANGE(""https://docs.google.com/spreadsheets/d/1QqKyyYR6Q21VydFLVH3TRQUabQu_ym0Zz7PgGX0-kHA/edit?usp=sharing"",""แผน!EJ68"")"),20)</f>
        <v>20</v>
      </c>
      <c r="J372" s="264">
        <f ca="1">IFERROR(__xludf.DUMMYFUNCTION("IMPORTRANGE(""https://docs.google.com/spreadsheets/d/1XWAQStnk-4SwqDmLtmXYiTMKHgktTP8We1SCoS47DrQ/edit?usp=sharing"",""จัดที่ดิน!I68"")"),0)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IFERROR(__xludf.DUMMYFUNCTION("IMPORTRANGE(""https://docs.google.com/spreadsheets/d/1XWAQStnk-4SwqDmLtmXYiTMKHgktTP8We1SCoS47DrQ/edit?usp=sharing"",""จัดที่ดิน!J68"")"),0)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IFERROR(__xludf.DUMMYFUNCTION("IMPORTRANGE(""https://docs.google.com/spreadsheets/d/1QqKyyYR6Q21VydFLVH3TRQUabQu_ym0Zz7PgGX0-kHA/edit?usp=sharing"",""แผน!EU68"")"),480)</f>
        <v>480</v>
      </c>
      <c r="J374" s="488">
        <f ca="1">J381</f>
        <v>0</v>
      </c>
      <c r="K374" s="489">
        <f t="shared" ca="1" si="162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IFERROR(__xludf.DUMMYFUNCTION("IMPORTRANGE(""https://docs.google.com/spreadsheets/d/1XWAQStnk-4SwqDmLtmXYiTMKHgktTP8We1SCoS47DrQ/edit?usp=sharing"",""จัดที่ดิน!AH68"")"),70)</f>
        <v>70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IFERROR(__xludf.DUMMYFUNCTION("IMPORTRANGE(""https://docs.google.com/spreadsheets/d/1QqKyyYR6Q21VydFLVH3TRQUabQu_ym0Zz7PgGX0-kHA/edit?usp=sharing"",""แผน!ET68"")"),3500)</f>
        <v>3500</v>
      </c>
      <c r="J378" s="264">
        <f ca="1">IFERROR(__xludf.DUMMYFUNCTION("IMPORTRANGE(""https://docs.google.com/spreadsheets/d/1XWAQStnk-4SwqDmLtmXYiTMKHgktTP8We1SCoS47DrQ/edit?usp=sharing"",""จัดที่ดิน!AI68"")"),919.71)</f>
        <v>919.71</v>
      </c>
      <c r="K378" s="495">
        <f t="shared" ca="1" si="163"/>
        <v>26.277428571428572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IFERROR(__xludf.DUMMYFUNCTION("IMPORTRANGE(""https://docs.google.com/spreadsheets/d/1QqKyyYR6Q21VydFLVH3TRQUabQu_ym0Zz7PgGX0-kHA/edit?usp=sharing"",""แผน!EU68"")"),480)</f>
        <v>480</v>
      </c>
      <c r="J379" s="264">
        <f ca="1">IFERROR(__xludf.DUMMYFUNCTION("IMPORTRANGE(""https://docs.google.com/spreadsheets/d/1XWAQStnk-4SwqDmLtmXYiTMKHgktTP8We1SCoS47DrQ/edit?usp=sharing"",""จัดที่ดิน!AJ68"")"),63)</f>
        <v>63</v>
      </c>
      <c r="K379" s="495">
        <f t="shared" ca="1" si="163"/>
        <v>13.125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IFERROR(__xludf.DUMMYFUNCTION("IMPORTRANGE(""https://docs.google.com/spreadsheets/d/1XWAQStnk-4SwqDmLtmXYiTMKHgktTP8We1SCoS47DrQ/edit?usp=sharing"",""จัดที่ดิน!AK68"")"),834.57)</f>
        <v>834.57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IFERROR(__xludf.DUMMYFUNCTION("IMPORTRANGE(""https://docs.google.com/spreadsheets/d/1QqKyyYR6Q21VydFLVH3TRQUabQu_ym0Zz7PgGX0-kHA/edit?usp=sharing"",""แผน!EU68"")"),480)</f>
        <v>480</v>
      </c>
      <c r="J381" s="264">
        <f ca="1">IFERROR(__xludf.DUMMYFUNCTION("IMPORTRANGE(""https://docs.google.com/spreadsheets/d/1XWAQStnk-4SwqDmLtmXYiTMKHgktTP8We1SCoS47DrQ/edit?usp=sharing"",""จัดที่ดิน!AL68"")"),0)</f>
        <v>0</v>
      </c>
      <c r="K381" s="495">
        <f t="shared" ca="1" si="163"/>
        <v>0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IFERROR(__xludf.DUMMYFUNCTION("IMPORTRANGE(""https://docs.google.com/spreadsheets/d/1XWAQStnk-4SwqDmLtmXYiTMKHgktTP8We1SCoS47DrQ/edit?usp=sharing"",""จัดที่ดิน!AM68"")"),0)</f>
        <v>0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IFERROR(__xludf.DUMMYFUNCTION("IMPORTRANGE(""https://docs.google.com/spreadsheets/d/1QqKyyYR6Q21VydFLVH3TRQUabQu_ym0Zz7PgGX0-kHA/edit?usp=sharing"",""แผน!EW68"")"),10)</f>
        <v>10</v>
      </c>
      <c r="J385" s="498">
        <f ca="1">IFERROR(__xludf.DUMMYFUNCTION("IMPORTRANGE(""https://docs.google.com/spreadsheets/d/1XWAQStnk-4SwqDmLtmXYiTMKHgktTP8We1SCoS47DrQ/edit?usp=sharing"",""จัดที่ดิน!AP68"")"),0)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IFERROR(__xludf.DUMMYFUNCTION("IMPORTRANGE(""https://docs.google.com/spreadsheets/d/1MeEWN-I1oV_STSDYn1IFDPWt_1FKiwhDph83XaGc0o0/edit?usp=sharing"",""งบพรบ!FG68"")"),0)</f>
        <v>0</v>
      </c>
      <c r="M394" s="90">
        <f ca="1">IFERROR(__xludf.DUMMYFUNCTION("IMPORTRANGE(""https://docs.google.com/spreadsheets/d/1MeEWN-I1oV_STSDYn1IFDPWt_1FKiwhDph83XaGc0o0/edit?usp=sharing"",""งบพรบ!FL68"")"),0)</f>
        <v>0</v>
      </c>
      <c r="N394" s="90">
        <f ca="1">IFERROR(__xludf.DUMMYFUNCTION("IMPORTRANGE(""https://docs.google.com/spreadsheets/d/1MeEWN-I1oV_STSDYn1IFDPWt_1FKiwhDph83XaGc0o0/edit?usp=sharing"",""งบพรบ!FN68"")"),0)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IFERROR(__xludf.DUMMYFUNCTION("IMPORTRANGE(""https://docs.google.com/spreadsheets/d/1MeEWN-I1oV_STSDYn1IFDPWt_1FKiwhDph83XaGc0o0/edit?usp=sharing"",""งบพรบ!FJ68"")"),0)</f>
        <v>0</v>
      </c>
      <c r="M397" s="90">
        <f ca="1">IFERROR(__xludf.DUMMYFUNCTION("IMPORTRANGE(""https://docs.google.com/spreadsheets/d/1MeEWN-I1oV_STSDYn1IFDPWt_1FKiwhDph83XaGc0o0/edit?usp=sharing"",""งบพรบ!FM68"")"),0)</f>
        <v>0</v>
      </c>
      <c r="N397" s="90">
        <f ca="1">IFERROR(__xludf.DUMMYFUNCTION("IMPORTRANGE(""https://docs.google.com/spreadsheets/d/1MeEWN-I1oV_STSDYn1IFDPWt_1FKiwhDph83XaGc0o0/edit?usp=sharing"",""งบพรบ!FO68"")"),0)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IFERROR(__xludf.DUMMYFUNCTION("IMPORTRANGE(""https://docs.google.com/spreadsheets/d/1MeEWN-I1oV_STSDYn1IFDPWt_1FKiwhDph83XaGc0o0/edit?usp=sharing"",""งบพรบ!FQ68"")"),0)</f>
        <v>0</v>
      </c>
      <c r="M407" s="90">
        <f ca="1">IFERROR(__xludf.DUMMYFUNCTION("IMPORTRANGE(""https://docs.google.com/spreadsheets/d/1MeEWN-I1oV_STSDYn1IFDPWt_1FKiwhDph83XaGc0o0/edit?usp=sharing"",""งบพรบ!FV68"")"),0)</f>
        <v>0</v>
      </c>
      <c r="N407" s="90">
        <f ca="1">IFERROR(__xludf.DUMMYFUNCTION("IMPORTRANGE(""https://docs.google.com/spreadsheets/d/1MeEWN-I1oV_STSDYn1IFDPWt_1FKiwhDph83XaGc0o0/edit?usp=sharing"",""งบพรบ!FX68"")"),0)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IFERROR(__xludf.DUMMYFUNCTION("IMPORTRANGE(""https://docs.google.com/spreadsheets/d/1MeEWN-I1oV_STSDYn1IFDPWt_1FKiwhDph83XaGc0o0/edit?usp=sharing"",""งบพรบ!FT68"")"),0)</f>
        <v>0</v>
      </c>
      <c r="M410" s="90">
        <f ca="1">IFERROR(__xludf.DUMMYFUNCTION("IMPORTRANGE(""https://docs.google.com/spreadsheets/d/1MeEWN-I1oV_STSDYn1IFDPWt_1FKiwhDph83XaGc0o0/edit?usp=sharing"",""งบพรบ!FW68"")"),0)</f>
        <v>0</v>
      </c>
      <c r="N410" s="90">
        <f ca="1">IFERROR(__xludf.DUMMYFUNCTION("IMPORTRANGE(""https://docs.google.com/spreadsheets/d/1MeEWN-I1oV_STSDYn1IFDPWt_1FKiwhDph83XaGc0o0/edit?usp=sharing"",""งบพรบ!FY68"")"),0)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2402770</v>
      </c>
      <c r="M414" s="546">
        <f t="shared" si="180"/>
        <v>0</v>
      </c>
      <c r="N414" s="546">
        <f t="shared" si="180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70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2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212800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212800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212800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IFERROR(__xludf.DUMMYFUNCTION("IMPORTRANGE(""https://docs.google.com/spreadsheets/d/1QqKyyYR6Q21VydFLVH3TRQUabQu_ym0Zz7PgGX0-kHA/edit?usp=sharing"",""แผน!EY68"")"),212800)</f>
        <v>212800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IFERROR(__xludf.DUMMYFUNCTION("IMPORTRANGE(""https://docs.google.com/spreadsheets/d/1QqKyyYR6Q21VydFLVH3TRQUabQu_ym0Zz7PgGX0-kHA/edit?usp=sharing"",""แผน!FB68"")"),0)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70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2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IFERROR(__xludf.DUMMYFUNCTION("IMPORTRANGE(""https://docs.google.com/spreadsheets/d/1QqKyyYR6Q21VydFLVH3TRQUabQu_ym0Zz7PgGX0-kHA/edit?usp=sharing"",""แผน!FC68"")"),70)</f>
        <v>70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IFERROR(__xludf.DUMMYFUNCTION("IMPORTRANGE(""https://docs.google.com/spreadsheets/d/1QqKyyYR6Q21VydFLVH3TRQUabQu_ym0Zz7PgGX0-kHA/edit?usp=sharing"",""แผน!FD68"")"),40)</f>
        <v>40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IFERROR(__xludf.DUMMYFUNCTION("IMPORTRANGE(""https://docs.google.com/spreadsheets/d/1QqKyyYR6Q21VydFLVH3TRQUabQu_ym0Zz7PgGX0-kHA/edit?usp=sharing"",""แผน!FE68"")"),1)</f>
        <v>1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IFERROR(__xludf.DUMMYFUNCTION("IMPORTRANGE(""https://docs.google.com/spreadsheets/d/1QqKyyYR6Q21VydFLVH3TRQUabQu_ym0Zz7PgGX0-kHA/edit?usp=sharing"",""แผน!FF68"")"),30)</f>
        <v>30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IFERROR(__xludf.DUMMYFUNCTION("IMPORTRANGE(""https://docs.google.com/spreadsheets/d/1QqKyyYR6Q21VydFLVH3TRQUabQu_ym0Zz7PgGX0-kHA/edit?usp=sharing"",""แผน!FG68"")"),1)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IFERROR(__xludf.DUMMYFUNCTION("IMPORTRANGE(""https://docs.google.com/spreadsheets/d/1QqKyyYR6Q21VydFLVH3TRQUabQu_ym0Zz7PgGX0-kHA/edit?usp=sharing"",""แผน!FH68"")"),0)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40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65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312380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312380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312380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IFERROR(__xludf.DUMMYFUNCTION("IMPORTRANGE(""https://docs.google.com/spreadsheets/d/1QqKyyYR6Q21VydFLVH3TRQUabQu_ym0Zz7PgGX0-kHA/edit?usp=sharing"",""แผน!FJ68"")"),312380)</f>
        <v>312380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IFERROR(__xludf.DUMMYFUNCTION("IMPORTRANGE(""https://docs.google.com/spreadsheets/d/1QqKyyYR6Q21VydFLVH3TRQUabQu_ym0Zz7PgGX0-kHA/edit?usp=sharing"",""แผน!FM68"")"),0)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IFERROR(__xludf.DUMMYFUNCTION("IMPORTRANGE(""https://docs.google.com/spreadsheets/d/1QqKyyYR6Q21VydFLVH3TRQUabQu_ym0Zz7PgGX0-kHA/edit?usp=sharing"",""แผน!FN68"")"),40)</f>
        <v>40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IFERROR(__xludf.DUMMYFUNCTION("IMPORTRANGE(""https://docs.google.com/spreadsheets/d/1QqKyyYR6Q21VydFLVH3TRQUabQu_ym0Zz7PgGX0-kHA/edit?usp=sharing"",""แผน!FO68"")"),65)</f>
        <v>65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IFERROR(__xludf.DUMMYFUNCTION("IMPORTRANGE(""https://docs.google.com/spreadsheets/d/1QqKyyYR6Q21VydFLVH3TRQUabQu_ym0Zz7PgGX0-kHA/edit?usp=sharing"",""แผน!FO68"")"),65)</f>
        <v>65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IFERROR(__xludf.DUMMYFUNCTION("IMPORTRANGE(""https://docs.google.com/spreadsheets/d/1QqKyyYR6Q21VydFLVH3TRQUabQu_ym0Zz7PgGX0-kHA/edit?usp=sharing"",""แผน!FN68"")"),40)</f>
        <v>40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IFERROR(__xludf.DUMMYFUNCTION("IMPORTRANGE(""https://docs.google.com/spreadsheets/d/1QqKyyYR6Q21VydFLVH3TRQUabQu_ym0Zz7PgGX0-kHA/edit?usp=sharing"",""แผน!FX68"")"),131)</f>
        <v>131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IFERROR(__xludf.DUMMYFUNCTION("IMPORTRANGE(""https://docs.google.com/spreadsheets/d/1QqKyyYR6Q21VydFLVH3TRQUabQu_ym0Zz7PgGX0-kHA/edit?usp=sharing"",""แผน!FW68"")"),1300)</f>
        <v>1300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1161548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1161548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1161548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IFERROR(__xludf.DUMMYFUNCTION("IMPORTRANGE(""https://docs.google.com/spreadsheets/d/1QqKyyYR6Q21VydFLVH3TRQUabQu_ym0Zz7PgGX0-kHA/edit?usp=sharing"",""แผน!FS68"")"),1161548)</f>
        <v>1161548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IFERROR(__xludf.DUMMYFUNCTION("IMPORTRANGE(""https://docs.google.com/spreadsheets/d/1QqKyyYR6Q21VydFLVH3TRQUabQu_ym0Zz7PgGX0-kHA/edit?usp=sharing"",""แผน!FV68"")"),0)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IFERROR(__xludf.DUMMYFUNCTION("IMPORTRANGE(""https://docs.google.com/spreadsheets/d/1QqKyyYR6Q21VydFLVH3TRQUabQu_ym0Zz7PgGX0-kHA/edit?usp=sharing"",""แผน!FY68"")"),1170)</f>
        <v>1170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IFERROR(__xludf.DUMMYFUNCTION("IMPORTRANGE(""https://docs.google.com/spreadsheets/d/1QqKyyYR6Q21VydFLVH3TRQUabQu_ym0Zz7PgGX0-kHA/edit?usp=sharing"",""แผน!FZ68"")"),117)</f>
        <v>117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IFERROR(__xludf.DUMMYFUNCTION("IMPORTRANGE(""https://docs.google.com/spreadsheets/d/1QqKyyYR6Q21VydFLVH3TRQUabQu_ym0Zz7PgGX0-kHA/edit?usp=sharing"",""แผน!GA68"")"),130)</f>
        <v>130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IFERROR(__xludf.DUMMYFUNCTION("IMPORTRANGE(""https://docs.google.com/spreadsheets/d/1QqKyyYR6Q21VydFLVH3TRQUabQu_ym0Zz7PgGX0-kHA/edit?usp=sharing"",""แผน!GB68"")"),13)</f>
        <v>13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IFERROR(__xludf.DUMMYFUNCTION("IMPORTRANGE(""https://docs.google.com/spreadsheets/d/1QqKyyYR6Q21VydFLVH3TRQUabQu_ym0Zz7PgGX0-kHA/edit?usp=sharing"",""แผน!GC68"")"),1)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IFERROR(__xludf.DUMMYFUNCTION("IMPORTRANGE(""https://docs.google.com/spreadsheets/d/1QqKyyYR6Q21VydFLVH3TRQUabQu_ym0Zz7PgGX0-kHA/edit?usp=sharing"",""แผน!FY68"")"),1170)</f>
        <v>1170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IFERROR(__xludf.DUMMYFUNCTION("IMPORTRANGE(""https://docs.google.com/spreadsheets/d/1QqKyyYR6Q21VydFLVH3TRQUabQu_ym0Zz7PgGX0-kHA/edit?usp=sharing"",""แผน!GA68"")"),130)</f>
        <v>130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IFERROR(__xludf.DUMMYFUNCTION("IMPORTRANGE(""https://docs.google.com/spreadsheets/d/1QqKyyYR6Q21VydFLVH3TRQUabQu_ym0Zz7PgGX0-kHA/edit?usp=sharing"",""แผน!GQ68"")"),0)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IFERROR(__xludf.DUMMYFUNCTION("IMPORTRANGE(""https://docs.google.com/spreadsheets/d/1QqKyyYR6Q21VydFLVH3TRQUabQu_ym0Zz7PgGX0-kHA/edit?usp=sharing"",""แผน!GT68"")"),0)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IFERROR(__xludf.DUMMYFUNCTION("IMPORTRANGE(""https://docs.google.com/spreadsheets/d/1QqKyyYR6Q21VydFLVH3TRQUabQu_ym0Zz7PgGX0-kHA/edit?usp=sharing"",""แผน!GU68"")"),0)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IFERROR(__xludf.DUMMYFUNCTION("IMPORTRANGE(""https://docs.google.com/spreadsheets/d/1QqKyyYR6Q21VydFLVH3TRQUabQu_ym0Zz7PgGX0-kHA/edit?usp=sharing"",""แผน!GV68"")"),0)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IFERROR(__xludf.DUMMYFUNCTION("IMPORTRANGE(""https://docs.google.com/spreadsheets/d/1QqKyyYR6Q21VydFLVH3TRQUabQu_ym0Zz7PgGX0-kHA/edit?usp=sharing"",""แผน!GW68"")"),0)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IFERROR(__xludf.DUMMYFUNCTION("IMPORTRANGE(""https://docs.google.com/spreadsheets/d/1QqKyyYR6Q21VydFLVH3TRQUabQu_ym0Zz7PgGX0-kHA/edit?usp=sharing"",""แผน!GX68"")"),0)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IFERROR(__xludf.DUMMYFUNCTION("IMPORTRANGE(""https://docs.google.com/spreadsheets/d/1QqKyyYR6Q21VydFLVH3TRQUabQu_ym0Zz7PgGX0-kHA/edit?usp=sharing"",""แผน!GY68"")"),0)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IFERROR(__xludf.DUMMYFUNCTION("IMPORTRANGE(""https://docs.google.com/spreadsheets/d/1QqKyyYR6Q21VydFLVH3TRQUabQu_ym0Zz7PgGX0-kHA/edit?usp=sharing"",""แผน!GZ68"")"),0)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36182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341452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341452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341452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IFERROR(__xludf.DUMMYFUNCTION("IMPORTRANGE(""https://docs.google.com/spreadsheets/d/1QqKyyYR6Q21VydFLVH3TRQUabQu_ym0Zz7PgGX0-kHA/edit?usp=sharing"",""แผน!HB68"")"),341452)</f>
        <v>341452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IFERROR(__xludf.DUMMYFUNCTION("IMPORTRANGE(""https://docs.google.com/spreadsheets/d/1QqKyyYR6Q21VydFLVH3TRQUabQu_ym0Zz7PgGX0-kHA/edit?usp=sharing"",""แผน!HF68"")"),0)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36182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IFERROR(__xludf.DUMMYFUNCTION("IMPORTRANGE(""https://docs.google.com/spreadsheets/d/1QqKyyYR6Q21VydFLVH3TRQUabQu_ym0Zz7PgGX0-kHA/edit?usp=sharing"",""แผน!HH68"")"),36182)</f>
        <v>36182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IFERROR(__xludf.DUMMYFUNCTION("IMPORTRANGE(""https://docs.google.com/spreadsheets/d/1QqKyyYR6Q21VydFLVH3TRQUabQu_ym0Zz7PgGX0-kHA/edit?usp=sharing"",""แผน!HG68"")"),3060)</f>
        <v>3060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IFERROR(__xludf.DUMMYFUNCTION("IMPORTRANGE(""https://docs.google.com/spreadsheets/d/1QqKyyYR6Q21VydFLVH3TRQUabQu_ym0Zz7PgGX0-kHA/edit?usp=sharing"",""แผน!HH68"")"),36182)</f>
        <v>36182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IFERROR(__xludf.DUMMYFUNCTION("IMPORTRANGE(""https://docs.google.com/spreadsheets/d/1QqKyyYR6Q21VydFLVH3TRQUabQu_ym0Zz7PgGX0-kHA/edit?usp=sharing"",""แผน!HG68"")"),3060)</f>
        <v>3060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IFERROR(__xludf.DUMMYFUNCTION("IMPORTRANGE(""https://docs.google.com/spreadsheets/d/1QqKyyYR6Q21VydFLVH3TRQUabQu_ym0Zz7PgGX0-kHA/edit?usp=sharing"",""แผน!HH68"")"),36182)</f>
        <v>36182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IFERROR(__xludf.DUMMYFUNCTION("IMPORTRANGE(""https://docs.google.com/spreadsheets/d/1QqKyyYR6Q21VydFLVH3TRQUabQu_ym0Zz7PgGX0-kHA/edit?usp=sharing"",""แผน!HG68"")"),3060)</f>
        <v>3060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 hidden="1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0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 hidden="1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IFERROR(__xludf.DUMMYFUNCTION("IMPORTRANGE(""https://docs.google.com/spreadsheets/d/1QqKyyYR6Q21VydFLVH3TRQUabQu_ym0Zz7PgGX0-kHA/edit?usp=sharing"",""แผน!HJ68"")"),0)</f>
        <v>0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 hidden="1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IFERROR(__xludf.DUMMYFUNCTION("IMPORTRANGE(""https://docs.google.com/spreadsheets/d/1QqKyyYR6Q21VydFLVH3TRQUabQu_ym0Zz7PgGX0-kHA/edit?usp=sharing"",""แผน!HI68"")"),0)</f>
        <v>0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 hidden="1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 hidden="1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 hidden="1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 hidden="1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 hidden="1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 hidden="1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 hidden="1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 hidden="1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 hidden="1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 hidden="1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 hidden="1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 hidden="1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 hidden="1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 hidden="1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 hidden="1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 hidden="1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IFERROR(__xludf.DUMMYFUNCTION("IMPORTRANGE(""https://docs.google.com/spreadsheets/d/1QqKyyYR6Q21VydFLVH3TRQUabQu_ym0Zz7PgGX0-kHA/edit?usp=sharing"",""แผน!HL68"")"),0)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IFERROR(__xludf.DUMMYFUNCTION("IMPORTRANGE(""https://docs.google.com/spreadsheets/d/1QqKyyYR6Q21VydFLVH3TRQUabQu_ym0Zz7PgGX0-kHA/edit?usp=sharing"",""แผน!HK68"")"),0)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70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341770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341770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341770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IFERROR(__xludf.DUMMYFUNCTION("IMPORTRANGE(""https://docs.google.com/spreadsheets/d/1QqKyyYR6Q21VydFLVH3TRQUabQu_ym0Zz7PgGX0-kHA/edit?usp=sharing"",""แผน!HN68"")"),341770)</f>
        <v>341770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IFERROR(__xludf.DUMMYFUNCTION("IMPORTRANGE(""https://docs.google.com/spreadsheets/d/1QqKyyYR6Q21VydFLVH3TRQUabQu_ym0Zz7PgGX0-kHA/edit?usp=sharing"",""แผน!HQ68"")"),0)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IFERROR(__xludf.DUMMYFUNCTION("IMPORTRANGE(""https://docs.google.com/spreadsheets/d/1QqKyyYR6Q21VydFLVH3TRQUabQu_ym0Zz7PgGX0-kHA/edit?usp=sharing"",""แผน!HR68"")"),0)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IFERROR(__xludf.DUMMYFUNCTION("IMPORTRANGE(""https://docs.google.com/spreadsheets/d/1QqKyyYR6Q21VydFLVH3TRQUabQu_ym0Zz7PgGX0-kHA/edit?usp=sharing"",""แผน!HR68"")"),0)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IFERROR(__xludf.DUMMYFUNCTION("IMPORTRANGE(""https://docs.google.com/spreadsheets/d/1XWAQStnk-4SwqDmLtmXYiTMKHgktTP8We1SCoS47DrQ/edit?usp=sharing"",""จัดที่ดิน!AS68"")"),0)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IFERROR(__xludf.DUMMYFUNCTION("IMPORTRANGE(""https://docs.google.com/spreadsheets/d/1XWAQStnk-4SwqDmLtmXYiTMKHgktTP8We1SCoS47DrQ/edit?usp=sharing"",""จัดที่ดิน!AT68"")"),0)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IFERROR(__xludf.DUMMYFUNCTION("IMPORTRANGE(""https://docs.google.com/spreadsheets/d/1QqKyyYR6Q21VydFLVH3TRQUabQu_ym0Zz7PgGX0-kHA/edit?usp=sharing"",""แผน!HS68"")"),70)</f>
        <v>70</v>
      </c>
      <c r="J647" s="264">
        <f ca="1">IFERROR(__xludf.DUMMYFUNCTION("IMPORTRANGE(""https://docs.google.com/spreadsheets/d/1XWAQStnk-4SwqDmLtmXYiTMKHgktTP8We1SCoS47DrQ/edit?usp=sharing"",""จัดที่ดิน!AU68"")"),0)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IFERROR(__xludf.DUMMYFUNCTION("IMPORTRANGE(""https://docs.google.com/spreadsheets/d/1XWAQStnk-4SwqDmLtmXYiTMKHgktTP8We1SCoS47DrQ/edit?usp=sharing"",""จัดที่ดิน!AV68"")"),0)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IFERROR(__xludf.DUMMYFUNCTION("IMPORTRANGE(""https://docs.google.com/spreadsheets/d/1QqKyyYR6Q21VydFLVH3TRQUabQu_ym0Zz7PgGX0-kHA/edit?usp=sharing"",""แผน!HS68"")"),70)</f>
        <v>70</v>
      </c>
      <c r="J649" s="264">
        <f ca="1">IFERROR(__xludf.DUMMYFUNCTION("IMPORTRANGE(""https://docs.google.com/spreadsheets/d/1XWAQStnk-4SwqDmLtmXYiTMKHgktTP8We1SCoS47DrQ/edit?usp=sharing"",""จัดที่ดิน!AW68"")"),0)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IFERROR(__xludf.DUMMYFUNCTION("IMPORTRANGE(""https://docs.google.com/spreadsheets/d/1XWAQStnk-4SwqDmLtmXYiTMKHgktTP8We1SCoS47DrQ/edit?usp=sharing"",""จัดที่ดิน!AX68"")"),0)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IFERROR(__xludf.DUMMYFUNCTION("IMPORTRANGE(""https://docs.google.com/spreadsheets/d/1QqKyyYR6Q21VydFLVH3TRQUabQu_ym0Zz7PgGX0-kHA/edit?usp=sharing"",""แผน!HS68"")"),70)</f>
        <v>70</v>
      </c>
      <c r="J651" s="264">
        <f ca="1">IFERROR(__xludf.DUMMYFUNCTION("IMPORTRANGE(""https://docs.google.com/spreadsheets/d/1XWAQStnk-4SwqDmLtmXYiTMKHgktTP8We1SCoS47DrQ/edit?usp=sharing"",""จัดที่ดิน!AY68"")"),0)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IFERROR(__xludf.DUMMYFUNCTION("IMPORTRANGE(""https://docs.google.com/spreadsheets/d/1XWAQStnk-4SwqDmLtmXYiTMKHgktTP8We1SCoS47DrQ/edit?usp=sharing"",""จัดที่ดิน!AZ68"")"),0)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50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11000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11000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11000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IFERROR(__xludf.DUMMYFUNCTION("IMPORTRANGE(""https://docs.google.com/spreadsheets/d/1QqKyyYR6Q21VydFLVH3TRQUabQu_ym0Zz7PgGX0-kHA/edit?usp=sharing"",""แผน!HV68"")"),11000)</f>
        <v>11000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IFERROR(__xludf.DUMMYFUNCTION("IMPORTRANGE(""https://docs.google.com/spreadsheets/d/1QqKyyYR6Q21VydFLVH3TRQUabQu_ym0Zz7PgGX0-kHA/edit?usp=sharing"",""แผน!IA68"")"),50)</f>
        <v>50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IFERROR(__xludf.DUMMYFUNCTION("IMPORTRANGE(""https://docs.google.com/spreadsheets/d/1QqKyyYR6Q21VydFLVH3TRQUabQu_ym0Zz7PgGX0-kHA/edit?usp=sharing"",""แผน!HZ68"")"),5)</f>
        <v>5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IFERROR(__xludf.DUMMYFUNCTION("IMPORTRANGE(""https://docs.google.com/spreadsheets/d/1QqKyyYR6Q21VydFLVH3TRQUabQu_ym0Zz7PgGX0-kHA/edit?usp=sharing"",""แผน!HZ68"")"),5)</f>
        <v>5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IFERROR(__xludf.DUMMYFUNCTION("IMPORTRANGE(""https://docs.google.com/spreadsheets/d/1QqKyyYR6Q21VydFLVH3TRQUabQu_ym0Zz7PgGX0-kHA/edit?usp=sharing"",""แผน!IB68"")"),0)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21820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21820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21820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IFERROR(__xludf.DUMMYFUNCTION("IMPORTRANGE(""https://docs.google.com/spreadsheets/d/1QqKyyYR6Q21VydFLVH3TRQUabQu_ym0Zz7PgGX0-kHA/edit?usp=sharing"",""แผน!HW68"")"),21820)</f>
        <v>21820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IFERROR(__xludf.DUMMYFUNCTION("IMPORTRANGE(""https://docs.google.com/spreadsheets/d/1QqKyyYR6Q21VydFLVH3TRQUabQu_ym0Zz7PgGX0-kHA/edit?usp=sharing"",""แผน!IC68"")"),10)</f>
        <v>10</v>
      </c>
      <c r="J699" s="264">
        <f ca="1">IFERROR(__xludf.DUMMYFUNCTION("IMPORTRANGE(""https://docs.google.com/spreadsheets/d/1XWAQStnk-4SwqDmLtmXYiTMKHgktTP8We1SCoS47DrQ/edit?usp=sharing"",""จัดที่ดิน!BB68"")"),0)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IFERROR(__xludf.DUMMYFUNCTION("IMPORTRANGE(""https://docs.google.com/spreadsheets/d/1QqKyyYR6Q21VydFLVH3TRQUabQu_ym0Zz7PgGX0-kHA/edit?usp=sharing"",""แผน!ID68"")"),1)</f>
        <v>1</v>
      </c>
      <c r="J700" s="264">
        <f ca="1">IFERROR(__xludf.DUMMYFUNCTION("IMPORTRANGE(""https://docs.google.com/spreadsheets/d/1XWAQStnk-4SwqDmLtmXYiTMKHgktTP8We1SCoS47DrQ/edit?usp=sharing"",""จัดที่ดิน!BD68"")"),0)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IFERROR(__xludf.DUMMYFUNCTION("IMPORTRANGE(""https://docs.google.com/spreadsheets/d/1QqKyyYR6Q21VydFLVH3TRQUabQu_ym0Zz7PgGX0-kHA/edit?usp=sharing"",""แผน!IE68"")"),550)</f>
        <v>550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IFERROR(__xludf.DUMMYFUNCTION("IMPORTRANGE(""https://docs.google.com/spreadsheets/d/1QqKyyYR6Q21VydFLVH3TRQUabQu_ym0Zz7PgGX0-kHA/edit?usp=sharing"",""แผน!IF68"")"),25)</f>
        <v>25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IFERROR(__xludf.DUMMYFUNCTION("IMPORTRANGE(""https://docs.google.com/spreadsheets/d/1QqKyyYR6Q21VydFLVH3TRQUabQu_ym0Zz7PgGX0-kHA/edit?usp=sharing"",""แผน!IG68"")"),525)</f>
        <v>525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IFERROR(__xludf.DUMMYFUNCTION("IMPORTRANGE(""https://docs.google.com/spreadsheets/d/1QqKyyYR6Q21VydFLVH3TRQUabQu_ym0Zz7PgGX0-kHA/edit?usp=sharing"",""แผน!IH68"")"),100)</f>
        <v>100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IFERROR(__xludf.DUMMYFUNCTION("IMPORTRANGE(""https://docs.google.com/spreadsheets/d/1XWAQStnk-4SwqDmLtmXYiTMKHgktTP8We1SCoS47DrQ/edit?usp=sharing"",""จัดที่ดิน!BF68"")"),0)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IFERROR(__xludf.DUMMYFUNCTION("IMPORTRANGE(""https://docs.google.com/spreadsheets/d/1XWAQStnk-4SwqDmLtmXYiTMKHgktTP8We1SCoS47DrQ/edit?usp=sharing"",""จัดที่ดิน!BG68"")"),0)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IFERROR(__xludf.DUMMYFUNCTION("IMPORTRANGE(""https://docs.google.com/spreadsheets/d/1QqKyyYR6Q21VydFLVH3TRQUabQu_ym0Zz7PgGX0-kHA/edit?usp=sharing"",""แผน!II68"")"),150)</f>
        <v>150</v>
      </c>
      <c r="J720" s="264">
        <f ca="1">IFERROR(__xludf.DUMMYFUNCTION("IMPORTRANGE(""https://docs.google.com/spreadsheets/d/1XWAQStnk-4SwqDmLtmXYiTMKHgktTP8We1SCoS47DrQ/edit?usp=sharing"",""จัดที่ดิน!BH68"")"),0)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IFERROR(__xludf.DUMMYFUNCTION("IMPORTRANGE(""https://docs.google.com/spreadsheets/d/1QqKyyYR6Q21VydFLVH3TRQUabQu_ym0Zz7PgGX0-kHA/edit?usp=sharing"",""แผน!IJ68"")"),10)</f>
        <v>10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IFERROR(__xludf.DUMMYFUNCTION("IMPORTRANGE(""https://docs.google.com/spreadsheets/d/1QqKyyYR6Q21VydFLVH3TRQUabQu_ym0Zz7PgGX0-kHA/edit?usp=sharing"",""แผน!IK68"")"),50)</f>
        <v>50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IFERROR(__xludf.DUMMYFUNCTION("IMPORTRANGE(""https://docs.google.com/spreadsheets/d/1QqKyyYR6Q21VydFLVH3TRQUabQu_ym0Zz7PgGX0-kHA/edit?usp=sharing"",""แผน!IL68"")"),10)</f>
        <v>10</v>
      </c>
      <c r="J723" s="264">
        <f ca="1">IFERROR(__xludf.DUMMYFUNCTION("IMPORTRANGE(""https://docs.google.com/spreadsheets/d/1XWAQStnk-4SwqDmLtmXYiTMKHgktTP8We1SCoS47DrQ/edit?usp=sharing"",""จัดที่ดิน!BM68"")"),0)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IFERROR(__xludf.DUMMYFUNCTION("IMPORTRANGE(""https://docs.google.com/spreadsheets/d/1XWAQStnk-4SwqDmLtmXYiTMKHgktTP8We1SCoS47DrQ/edit?usp=sharing"",""จัดที่ดิน!BN68"")"),0)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IFERROR(__xludf.DUMMYFUNCTION("IMPORTRANGE(""https://docs.google.com/spreadsheets/d/1QqKyyYR6Q21VydFLVH3TRQUabQu_ym0Zz7PgGX0-kHA/edit?usp=sharing"",""แผน!IM68"")"),50)</f>
        <v>50</v>
      </c>
      <c r="J725" s="264">
        <f ca="1">IFERROR(__xludf.DUMMYFUNCTION("IMPORTRANGE(""https://docs.google.com/spreadsheets/d/1XWAQStnk-4SwqDmLtmXYiTMKHgktTP8We1SCoS47DrQ/edit?usp=sharing"",""จัดที่ดิน!BO68"")"),0)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IFERROR(__xludf.DUMMYFUNCTION("IMPORTRANGE(""https://docs.google.com/spreadsheets/d/1QqKyyYR6Q21VydFLVH3TRQUabQu_ym0Zz7PgGX0-kHA/edit?usp=sharing"",""แผน!IN68"")"),0)</f>
        <v>0</v>
      </c>
      <c r="J726" s="264">
        <f ca="1">IFERROR(__xludf.DUMMYFUNCTION("IMPORTRANGE(""https://docs.google.com/spreadsheets/d/1XWAQStnk-4SwqDmLtmXYiTMKHgktTP8We1SCoS47DrQ/edit?usp=sharing"",""จัดที่ดิน!BR68"")"),0)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IFERROR(__xludf.DUMMYFUNCTION("IMPORTRANGE(""https://docs.google.com/spreadsheets/d/1XWAQStnk-4SwqDmLtmXYiTMKHgktTP8We1SCoS47DrQ/edit?usp=sharing"",""จัดที่ดิน!BS68"")"),0)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IFERROR(__xludf.DUMMYFUNCTION("IMPORTRANGE(""https://docs.google.com/spreadsheets/d/1QqKyyYR6Q21VydFLVH3TRQUabQu_ym0Zz7PgGX0-kHA/edit?usp=sharing"",""แผน!IO68"")"),0)</f>
        <v>0</v>
      </c>
      <c r="J728" s="264">
        <f ca="1">IFERROR(__xludf.DUMMYFUNCTION("IMPORTRANGE(""https://docs.google.com/spreadsheets/d/1XWAQStnk-4SwqDmLtmXYiTMKHgktTP8We1SCoS47DrQ/edit?usp=sharing"",""จัดที่ดิน!BT68"")"),0)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IFERROR(__xludf.DUMMYFUNCTION("IMPORTRANGE(""https://docs.google.com/spreadsheets/d/1QqKyyYR6Q21VydFLVH3TRQUabQu_ym0Zz7PgGX0-kHA/edit?usp=sharing"",""แผน!IP68"")"),10)</f>
        <v>10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IFERROR(__xludf.DUMMYFUNCTION("IMPORTRANGE(""https://docs.google.com/spreadsheets/d/1QqKyyYR6Q21VydFLVH3TRQUabQu_ym0Zz7PgGX0-kHA/edit?usp=sharing"",""แผน!JJ68"")"),0)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IFERROR(__xludf.DUMMYFUNCTION("IMPORTRANGE(""https://docs.google.com/spreadsheets/d/1QqKyyYR6Q21VydFLVH3TRQUabQu_ym0Zz7PgGX0-kHA/edit?usp=sharing"",""แผน!JN68"")"),0)</f>
        <v>0</v>
      </c>
      <c r="J800" s="180">
        <f ca="1">IFERROR(__xludf.DUMMYFUNCTION("IMPORTRANGE(""https://docs.google.com/spreadsheets/d/1MaWodYyGHDf7siQLGxnXhG4mBNTNIuy296niS2xXulU/edit?usp=sharing"",""RTK!H68"")"),0)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IFERROR(__xludf.DUMMYFUNCTION("IMPORTRANGE(""https://docs.google.com/spreadsheets/d/1MaWodYyGHDf7siQLGxnXhG4mBNTNIuy296niS2xXulU/edit?usp=sharing"",""RTK!I68"")"),0)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264">
        <f ca="1">IFERROR(__xludf.DUMMYFUNCTION("IMPORTRANGE(""https://docs.google.com/spreadsheets/d/19vJNZY_5yjcGF2XGBMNZRCAIB0Kwfpjp8YEOfu-bneM/edit?usp=sharing"",""งานกองทุน!F68"")"),80000)</f>
        <v>80000</v>
      </c>
      <c r="K821" s="495">
        <f t="shared" ref="K821:K828" ca="1" si="334">IF(I821&gt;0,J821*100/I821,0)</f>
        <v>0.7166558307707841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IFERROR(__xludf.DUMMYFUNCTION("IMPORTRANGE(""https://docs.google.com/spreadsheets/d/19vJNZY_5yjcGF2XGBMNZRCAIB0Kwfpjp8YEOfu-bneM/edit?usp=sharing"",""งานกองทุน!C68"")"),357)</f>
        <v>357</v>
      </c>
      <c r="J822" s="264">
        <f ca="1">IFERROR(__xludf.DUMMYFUNCTION("IMPORTRANGE(""https://docs.google.com/spreadsheets/d/19vJNZY_5yjcGF2XGBMNZRCAIB0Kwfpjp8YEOfu-bneM/edit?usp=sharing"",""งานกองทุน!E68"")"),4)</f>
        <v>4</v>
      </c>
      <c r="K822" s="495">
        <f t="shared" ca="1" si="334"/>
        <v>1.1204481792717087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264">
        <f ca="1">IFERROR(__xludf.DUMMYFUNCTION("IMPORTRANGE(""https://docs.google.com/spreadsheets/d/19vJNZY_5yjcGF2XGBMNZRCAIB0Kwfpjp8YEOfu-bneM/edit?usp=sharing"",""งานกองทุน!K68"")"),161560.26)</f>
        <v>161560.26</v>
      </c>
      <c r="K823" s="495">
        <f t="shared" ca="1" si="334"/>
        <v>2.1684795021885614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IFERROR(__xludf.DUMMYFUNCTION("IMPORTRANGE(""https://docs.google.com/spreadsheets/d/19vJNZY_5yjcGF2XGBMNZRCAIB0Kwfpjp8YEOfu-bneM/edit?usp=sharing"",""งานกองทุน!H68"")"),327)</f>
        <v>327</v>
      </c>
      <c r="J824" s="264">
        <f ca="1">IFERROR(__xludf.DUMMYFUNCTION("IMPORTRANGE(""https://docs.google.com/spreadsheets/d/19vJNZY_5yjcGF2XGBMNZRCAIB0Kwfpjp8YEOfu-bneM/edit?usp=sharing"",""งานกองทุน!J68"")"),10)</f>
        <v>10</v>
      </c>
      <c r="K824" s="495">
        <f t="shared" ca="1" si="334"/>
        <v>3.0581039755351682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IFERROR(__xludf.DUMMYFUNCTION("IMPORTRANGE(""https://docs.google.com/spreadsheets/d/19vJNZY_5yjcGF2XGBMNZRCAIB0Kwfpjp8YEOfu-bneM/edit?usp=sharing"",""งานกองทุน!N68"")"),9317700.69)</f>
        <v>9317700.6899999995</v>
      </c>
      <c r="J825" s="264">
        <f ca="1">IFERROR(__xludf.DUMMYFUNCTION("IMPORTRANGE(""https://docs.google.com/spreadsheets/d/19vJNZY_5yjcGF2XGBMNZRCAIB0Kwfpjp8YEOfu-bneM/edit?usp=sharing"",""งานกองทุน!P68"")"),111790.19)</f>
        <v>111790.19</v>
      </c>
      <c r="K825" s="495">
        <f t="shared" ca="1" si="334"/>
        <v>1.1997615476098751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IFERROR(__xludf.DUMMYFUNCTION("IMPORTRANGE(""https://docs.google.com/spreadsheets/d/19vJNZY_5yjcGF2XGBMNZRCAIB0Kwfpjp8YEOfu-bneM/edit?usp=sharing"",""งานกองทุน!M68"")"),1230)</f>
        <v>1230</v>
      </c>
      <c r="J826" s="264">
        <f ca="1">IFERROR(__xludf.DUMMYFUNCTION("IMPORTRANGE(""https://docs.google.com/spreadsheets/d/19vJNZY_5yjcGF2XGBMNZRCAIB0Kwfpjp8YEOfu-bneM/edit?usp=sharing"",""งานกองทุน!O68"")"),28)</f>
        <v>28</v>
      </c>
      <c r="K826" s="495">
        <f t="shared" ca="1" si="334"/>
        <v>2.2764227642276422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IFERROR(__xludf.DUMMYFUNCTION("IMPORTRANGE(""https://docs.google.com/spreadsheets/d/19vJNZY_5yjcGF2XGBMNZRCAIB0Kwfpjp8YEOfu-bneM/edit?usp=sharing"",""งานกองทุน!S68"")"),11230000)</f>
        <v>11230000</v>
      </c>
      <c r="J827" s="264">
        <f ca="1">IFERROR(__xludf.DUMMYFUNCTION("IMPORTRANGE(""https://docs.google.com/spreadsheets/d/19vJNZY_5yjcGF2XGBMNZRCAIB0Kwfpjp8YEOfu-bneM/edit?usp=sharing"",""งานกองทุน!U68"")"),0)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IFERROR(__xludf.DUMMYFUNCTION("IMPORTRANGE(""https://docs.google.com/spreadsheets/d/19vJNZY_5yjcGF2XGBMNZRCAIB0Kwfpjp8YEOfu-bneM/edit?usp=sharing"",""งานกองทุน!R68"")"),449)</f>
        <v>449</v>
      </c>
      <c r="J828" s="498">
        <f ca="1">IFERROR(__xludf.DUMMYFUNCTION("IMPORTRANGE(""https://docs.google.com/spreadsheets/d/19vJNZY_5yjcGF2XGBMNZRCAIB0Kwfpjp8YEOfu-bneM/edit?usp=sharing"",""งานกองทุน!T68"")"),53)</f>
        <v>53</v>
      </c>
      <c r="K828" s="499">
        <f t="shared" ca="1" si="334"/>
        <v>11.804008908685969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FDF4-F74D-4BB0-8FA1-EDE51CB0446E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2.570312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354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7364170</v>
      </c>
      <c r="M8" s="21">
        <f t="shared" ca="1" si="0"/>
        <v>2888123</v>
      </c>
      <c r="N8" s="21">
        <f t="shared" ca="1" si="0"/>
        <v>1541483.17</v>
      </c>
      <c r="O8" s="21">
        <f t="shared" ref="O8:O16" ca="1" si="1">IF(L8&gt;0,N8*100/L8,0)</f>
        <v>20.932205122912698</v>
      </c>
      <c r="P8" s="21">
        <f t="shared" ref="P8:P16" ca="1" si="2">IF(M8&gt;0,N8*100/M8,0)</f>
        <v>53.373182859594273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7364170</v>
      </c>
      <c r="M10" s="29">
        <f t="shared" ca="1" si="3"/>
        <v>2888123</v>
      </c>
      <c r="N10" s="29">
        <f t="shared" ca="1" si="3"/>
        <v>1541483.17</v>
      </c>
      <c r="O10" s="29">
        <f t="shared" ca="1" si="1"/>
        <v>20.932205122912698</v>
      </c>
      <c r="P10" s="29">
        <f t="shared" ca="1" si="2"/>
        <v>53.373182859594273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6682570</v>
      </c>
      <c r="M11" s="495">
        <f t="shared" ca="1" si="4"/>
        <v>2253523</v>
      </c>
      <c r="N11" s="495">
        <f t="shared" ca="1" si="4"/>
        <v>906883.16999999993</v>
      </c>
      <c r="O11" s="495">
        <f t="shared" ca="1" si="1"/>
        <v>13.570874229525467</v>
      </c>
      <c r="P11" s="495">
        <f t="shared" ca="1" si="2"/>
        <v>40.242907216833373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6682570</v>
      </c>
      <c r="M13" s="90">
        <f t="shared" ca="1" si="5"/>
        <v>2253523</v>
      </c>
      <c r="N13" s="90">
        <f t="shared" ca="1" si="5"/>
        <v>906883.16999999993</v>
      </c>
      <c r="O13" s="90">
        <f t="shared" ca="1" si="1"/>
        <v>13.570874229525467</v>
      </c>
      <c r="P13" s="90">
        <f t="shared" ca="1" si="2"/>
        <v>40.242907216833373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681600</v>
      </c>
      <c r="M14" s="495">
        <f t="shared" ca="1" si="6"/>
        <v>634600</v>
      </c>
      <c r="N14" s="495">
        <f t="shared" ca="1" si="6"/>
        <v>634600</v>
      </c>
      <c r="O14" s="495">
        <f t="shared" ca="1" si="1"/>
        <v>93.104460093896719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681600</v>
      </c>
      <c r="M16" s="51">
        <f t="shared" ca="1" si="7"/>
        <v>634600</v>
      </c>
      <c r="N16" s="51">
        <f t="shared" ca="1" si="7"/>
        <v>634600</v>
      </c>
      <c r="O16" s="51">
        <f t="shared" ca="1" si="1"/>
        <v>93.104460093896719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5134563</v>
      </c>
      <c r="M18" s="21">
        <f t="shared" ca="1" si="8"/>
        <v>2888123</v>
      </c>
      <c r="N18" s="21">
        <f t="shared" ca="1" si="8"/>
        <v>1437202.69</v>
      </c>
      <c r="O18" s="21">
        <f t="shared" ref="O18:O26" ca="1" si="9">IF(L18&gt;0,N18*100/L18,0)</f>
        <v>27.990749943081816</v>
      </c>
      <c r="P18" s="21">
        <f t="shared" ref="P18:P26" ca="1" si="10">IF(M18&gt;0,N18*100/M18,0)</f>
        <v>49.762516693367978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5134563</v>
      </c>
      <c r="M20" s="29">
        <f t="shared" ca="1" si="11"/>
        <v>2888123</v>
      </c>
      <c r="N20" s="29">
        <f t="shared" ca="1" si="11"/>
        <v>1437202.69</v>
      </c>
      <c r="O20" s="29">
        <f t="shared" ca="1" si="9"/>
        <v>27.990749943081816</v>
      </c>
      <c r="P20" s="29">
        <f t="shared" ca="1" si="10"/>
        <v>49.762516693367978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4452963</v>
      </c>
      <c r="M21" s="495">
        <f t="shared" ca="1" si="12"/>
        <v>2253523</v>
      </c>
      <c r="N21" s="495">
        <f t="shared" ca="1" si="12"/>
        <v>802602.69</v>
      </c>
      <c r="O21" s="495">
        <f t="shared" ca="1" si="9"/>
        <v>18.024014347300888</v>
      </c>
      <c r="P21" s="495">
        <f t="shared" ca="1" si="10"/>
        <v>35.615464763394918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4452963</v>
      </c>
      <c r="M23" s="90">
        <f t="shared" ca="1" si="13"/>
        <v>2253523</v>
      </c>
      <c r="N23" s="90">
        <f t="shared" ca="1" si="13"/>
        <v>802602.69</v>
      </c>
      <c r="O23" s="90">
        <f t="shared" ca="1" si="9"/>
        <v>18.024014347300888</v>
      </c>
      <c r="P23" s="90">
        <f t="shared" ca="1" si="10"/>
        <v>35.615464763394918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681600</v>
      </c>
      <c r="M24" s="495">
        <f t="shared" ca="1" si="14"/>
        <v>634600</v>
      </c>
      <c r="N24" s="495">
        <f t="shared" ca="1" si="14"/>
        <v>634600</v>
      </c>
      <c r="O24" s="495">
        <f t="shared" ca="1" si="9"/>
        <v>93.104460093896719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681600</v>
      </c>
      <c r="M26" s="51">
        <f t="shared" ca="1" si="15"/>
        <v>634600</v>
      </c>
      <c r="N26" s="51">
        <f t="shared" ca="1" si="15"/>
        <v>634600</v>
      </c>
      <c r="O26" s="51">
        <f t="shared" ca="1" si="9"/>
        <v>93.104460093896719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2229607</v>
      </c>
      <c r="M28" s="21">
        <f t="shared" si="16"/>
        <v>0</v>
      </c>
      <c r="N28" s="21">
        <f t="shared" si="16"/>
        <v>104280.48000000001</v>
      </c>
      <c r="O28" s="21">
        <f t="shared" ref="O28:O37" ca="1" si="17">IF(L28&gt;0,N28*100/L28,0)</f>
        <v>4.677078965037337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2229607</v>
      </c>
      <c r="M30" s="29">
        <f t="shared" si="19"/>
        <v>0</v>
      </c>
      <c r="N30" s="29">
        <f t="shared" si="19"/>
        <v>104280.48000000001</v>
      </c>
      <c r="O30" s="29">
        <f t="shared" ca="1" si="17"/>
        <v>4.677078965037337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2229607</v>
      </c>
      <c r="M31" s="495">
        <f t="shared" si="20"/>
        <v>0</v>
      </c>
      <c r="N31" s="495">
        <f t="shared" si="20"/>
        <v>104280.48000000001</v>
      </c>
      <c r="O31" s="495">
        <f t="shared" ca="1" si="17"/>
        <v>4.677078965037337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2229607</v>
      </c>
      <c r="M33" s="90">
        <f t="shared" si="21"/>
        <v>0</v>
      </c>
      <c r="N33" s="90">
        <f t="shared" si="21"/>
        <v>104280.48000000001</v>
      </c>
      <c r="O33" s="90">
        <f t="shared" ca="1" si="17"/>
        <v>4.677078965037337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5134563</v>
      </c>
      <c r="M37" s="57">
        <f t="shared" ca="1" si="24"/>
        <v>2888123</v>
      </c>
      <c r="N37" s="57">
        <f t="shared" ca="1" si="24"/>
        <v>1437202.69</v>
      </c>
      <c r="O37" s="57">
        <f t="shared" ca="1" si="17"/>
        <v>27.990749943081816</v>
      </c>
      <c r="P37" s="57">
        <f t="shared" ca="1" si="18"/>
        <v>49.762516693367978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406723</v>
      </c>
      <c r="M41" s="82">
        <f t="shared" ca="1" si="25"/>
        <v>205923</v>
      </c>
      <c r="N41" s="82">
        <f t="shared" ca="1" si="25"/>
        <v>89121</v>
      </c>
      <c r="O41" s="82">
        <f t="shared" ref="O41:O49" ca="1" si="26">IF(L41&gt;0,N41*100/L41,0)</f>
        <v>21.911964654076609</v>
      </c>
      <c r="P41" s="82">
        <f t="shared" ref="P41:P49" ca="1" si="27">IF(M41&gt;0,N41*100/M41,0)</f>
        <v>43.2787983858044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406723</v>
      </c>
      <c r="M43" s="89">
        <f t="shared" ca="1" si="28"/>
        <v>205923</v>
      </c>
      <c r="N43" s="89">
        <f t="shared" ca="1" si="28"/>
        <v>89121</v>
      </c>
      <c r="O43" s="89">
        <f t="shared" ca="1" si="26"/>
        <v>21.911964654076609</v>
      </c>
      <c r="P43" s="89">
        <f t="shared" ca="1" si="27"/>
        <v>43.2787983858044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406723</v>
      </c>
      <c r="M44" s="495">
        <f t="shared" ca="1" si="29"/>
        <v>205923</v>
      </c>
      <c r="N44" s="495">
        <f t="shared" ca="1" si="29"/>
        <v>89121</v>
      </c>
      <c r="O44" s="495">
        <f t="shared" ca="1" si="26"/>
        <v>21.911964654076609</v>
      </c>
      <c r="P44" s="495">
        <f t="shared" ca="1" si="27"/>
        <v>43.2787983858044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IFERROR(__xludf.DUMMYFUNCTION("IMPORTRANGE(""https://docs.google.com/spreadsheets/d/1MeEWN-I1oV_STSDYn1IFDPWt_1FKiwhDph83XaGc0o0/edit?usp=sharing"",""งบพรบ!M69"")"),406723)</f>
        <v>406723</v>
      </c>
      <c r="M46" s="90">
        <f ca="1">IFERROR(__xludf.DUMMYFUNCTION("IMPORTRANGE(""https://docs.google.com/spreadsheets/d/1MeEWN-I1oV_STSDYn1IFDPWt_1FKiwhDph83XaGc0o0/edit?usp=sharing"",""งบพรบ!R69"")"),205923)</f>
        <v>205923</v>
      </c>
      <c r="N46" s="90">
        <f ca="1">IFERROR(__xludf.DUMMYFUNCTION("IMPORTRANGE(""https://docs.google.com/spreadsheets/d/1MeEWN-I1oV_STSDYn1IFDPWt_1FKiwhDph83XaGc0o0/edit?usp=sharing"",""งบพรบ!T69"")"),89121)</f>
        <v>89121</v>
      </c>
      <c r="O46" s="90">
        <f t="shared" ca="1" si="26"/>
        <v>21.911964654076609</v>
      </c>
      <c r="P46" s="90">
        <f t="shared" ca="1" si="27"/>
        <v>43.2787983858044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IFERROR(__xludf.DUMMYFUNCTION("IMPORTRANGE(""https://docs.google.com/spreadsheets/d/1MeEWN-I1oV_STSDYn1IFDPWt_1FKiwhDph83XaGc0o0/edit?usp=sharing"",""งบพรบ!P69"")"),0)</f>
        <v>0</v>
      </c>
      <c r="M49" s="51">
        <f ca="1">IFERROR(__xludf.DUMMYFUNCTION("IMPORTRANGE(""https://docs.google.com/spreadsheets/d/1MeEWN-I1oV_STSDYn1IFDPWt_1FKiwhDph83XaGc0o0/edit?usp=sharing"",""งบพรบ!S69"")"),0)</f>
        <v>0</v>
      </c>
      <c r="N49" s="51">
        <f ca="1">IFERROR(__xludf.DUMMYFUNCTION("IMPORTRANGE(""https://docs.google.com/spreadsheets/d/1MeEWN-I1oV_STSDYn1IFDPWt_1FKiwhDph83XaGc0o0/edit?usp=sharing"",""งบพรบ!U69"")"),0)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1382600</v>
      </c>
      <c r="M53" s="112">
        <f t="shared" ca="1" si="31"/>
        <v>979420</v>
      </c>
      <c r="N53" s="112">
        <f t="shared" ca="1" si="31"/>
        <v>777627.25</v>
      </c>
      <c r="O53" s="112">
        <f t="shared" ref="O53:O61" ca="1" si="32">IF(L53&gt;0,N53*100/L53,0)</f>
        <v>56.243834080717491</v>
      </c>
      <c r="P53" s="112">
        <f t="shared" ref="P53:P61" ca="1" si="33">IF(M53&gt;0,N53*100/M53,0)</f>
        <v>79.396709276918997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1382600</v>
      </c>
      <c r="M55" s="119">
        <f t="shared" ca="1" si="34"/>
        <v>979420</v>
      </c>
      <c r="N55" s="119">
        <f t="shared" ca="1" si="34"/>
        <v>777627.25</v>
      </c>
      <c r="O55" s="119">
        <f t="shared" ca="1" si="32"/>
        <v>56.243834080717491</v>
      </c>
      <c r="P55" s="119">
        <f t="shared" ca="1" si="33"/>
        <v>79.396709276918997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825600</v>
      </c>
      <c r="M56" s="495">
        <f t="shared" ca="1" si="35"/>
        <v>469420</v>
      </c>
      <c r="N56" s="495">
        <f t="shared" ca="1" si="35"/>
        <v>267627.25</v>
      </c>
      <c r="O56" s="495">
        <f t="shared" ca="1" si="32"/>
        <v>32.416091327519382</v>
      </c>
      <c r="P56" s="495">
        <f t="shared" ca="1" si="33"/>
        <v>57.0123237186315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IFERROR(__xludf.DUMMYFUNCTION("IMPORTRANGE(""https://docs.google.com/spreadsheets/d/1MeEWN-I1oV_STSDYn1IFDPWt_1FKiwhDph83XaGc0o0/edit?usp=sharing"",""งบพรบ!W69"")"),825600)</f>
        <v>825600</v>
      </c>
      <c r="M58" s="90">
        <f ca="1">IFERROR(__xludf.DUMMYFUNCTION("IMPORTRANGE(""https://docs.google.com/spreadsheets/d/1MeEWN-I1oV_STSDYn1IFDPWt_1FKiwhDph83XaGc0o0/edit?usp=sharing"",""งบพรบ!AB69"")"),469420)</f>
        <v>469420</v>
      </c>
      <c r="N58" s="90">
        <f ca="1">IFERROR(__xludf.DUMMYFUNCTION("IMPORTRANGE(""https://docs.google.com/spreadsheets/d/1MeEWN-I1oV_STSDYn1IFDPWt_1FKiwhDph83XaGc0o0/edit?usp=sharing"",""งบพรบ!AD69"")"),267627.25)</f>
        <v>267627.25</v>
      </c>
      <c r="O58" s="90">
        <f t="shared" ca="1" si="32"/>
        <v>32.416091327519382</v>
      </c>
      <c r="P58" s="90">
        <f t="shared" ca="1" si="33"/>
        <v>57.0123237186315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557000</v>
      </c>
      <c r="M59" s="495">
        <f t="shared" ca="1" si="36"/>
        <v>510000</v>
      </c>
      <c r="N59" s="495">
        <f t="shared" ca="1" si="36"/>
        <v>510000</v>
      </c>
      <c r="O59" s="495">
        <f t="shared" ca="1" si="32"/>
        <v>91.561938958707358</v>
      </c>
      <c r="P59" s="495">
        <f t="shared" ca="1" si="33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IFERROR(__xludf.DUMMYFUNCTION("IMPORTRANGE(""https://docs.google.com/spreadsheets/d/1MeEWN-I1oV_STSDYn1IFDPWt_1FKiwhDph83XaGc0o0/edit?usp=sharing"",""งบพรบ!Z69"")"),557000)</f>
        <v>557000</v>
      </c>
      <c r="M61" s="51">
        <f ca="1">IFERROR(__xludf.DUMMYFUNCTION("IMPORTRANGE(""https://docs.google.com/spreadsheets/d/1MeEWN-I1oV_STSDYn1IFDPWt_1FKiwhDph83XaGc0o0/edit?usp=sharing"",""งบพรบ!AC69"")"),510000)</f>
        <v>510000</v>
      </c>
      <c r="N61" s="51">
        <f ca="1">IFERROR(__xludf.DUMMYFUNCTION("IMPORTRANGE(""https://docs.google.com/spreadsheets/d/1MeEWN-I1oV_STSDYn1IFDPWt_1FKiwhDph83XaGc0o0/edit?usp=sharing"",""งบพรบ!AE69"")"),510000)</f>
        <v>510000</v>
      </c>
      <c r="O61" s="51">
        <f t="shared" ca="1" si="32"/>
        <v>91.561938958707358</v>
      </c>
      <c r="P61" s="51">
        <f t="shared" ca="1" si="33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1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70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914700</v>
      </c>
      <c r="M66" s="151">
        <f t="shared" ca="1" si="39"/>
        <v>438850</v>
      </c>
      <c r="N66" s="151">
        <f t="shared" ca="1" si="39"/>
        <v>66962.929999999993</v>
      </c>
      <c r="O66" s="151">
        <f t="shared" ref="O66:O74" ca="1" si="40">IF(L66&gt;0,N66*100/L66,0)</f>
        <v>7.3207532524324908</v>
      </c>
      <c r="P66" s="151">
        <f t="shared" ref="P66:P74" ca="1" si="41">IF(M66&gt;0,N66*100/M66,0)</f>
        <v>15.258728494929928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914700</v>
      </c>
      <c r="M68" s="90">
        <f t="shared" ca="1" si="42"/>
        <v>438850</v>
      </c>
      <c r="N68" s="90">
        <f t="shared" ca="1" si="42"/>
        <v>66962.929999999993</v>
      </c>
      <c r="O68" s="90">
        <f t="shared" ca="1" si="40"/>
        <v>7.3207532524324908</v>
      </c>
      <c r="P68" s="90">
        <f t="shared" ca="1" si="41"/>
        <v>15.258728494929928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914700</v>
      </c>
      <c r="M69" s="495">
        <f t="shared" ca="1" si="43"/>
        <v>438850</v>
      </c>
      <c r="N69" s="495">
        <f t="shared" ca="1" si="43"/>
        <v>66962.929999999993</v>
      </c>
      <c r="O69" s="495">
        <f t="shared" ca="1" si="40"/>
        <v>7.3207532524324908</v>
      </c>
      <c r="P69" s="495">
        <f t="shared" ca="1" si="41"/>
        <v>15.258728494929928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IFERROR(__xludf.DUMMYFUNCTION("IMPORTRANGE(""https://docs.google.com/spreadsheets/d/1MeEWN-I1oV_STSDYn1IFDPWt_1FKiwhDph83XaGc0o0/edit?usp=sharing"",""งบพรบ!AG69"")"),914700)</f>
        <v>914700</v>
      </c>
      <c r="M71" s="90">
        <f ca="1">IFERROR(__xludf.DUMMYFUNCTION("IMPORTRANGE(""https://docs.google.com/spreadsheets/d/1MeEWN-I1oV_STSDYn1IFDPWt_1FKiwhDph83XaGc0o0/edit?usp=sharing"",""งบพรบ!AL69"")"),438850)</f>
        <v>438850</v>
      </c>
      <c r="N71" s="90">
        <f ca="1">IFERROR(__xludf.DUMMYFUNCTION("IMPORTRANGE(""https://docs.google.com/spreadsheets/d/1MeEWN-I1oV_STSDYn1IFDPWt_1FKiwhDph83XaGc0o0/edit?usp=sharing"",""งบพรบ!AN69"")"),66962.93)</f>
        <v>66962.929999999993</v>
      </c>
      <c r="O71" s="90">
        <f t="shared" ca="1" si="40"/>
        <v>7.3207532524324908</v>
      </c>
      <c r="P71" s="90">
        <f t="shared" ca="1" si="41"/>
        <v>15.258728494929928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IFERROR(__xludf.DUMMYFUNCTION("IMPORTRANGE(""https://docs.google.com/spreadsheets/d/1MeEWN-I1oV_STSDYn1IFDPWt_1FKiwhDph83XaGc0o0/edit?usp=sharing"",""งบพรบ!AJ69"")"),0)</f>
        <v>0</v>
      </c>
      <c r="M74" s="90">
        <f ca="1">IFERROR(__xludf.DUMMYFUNCTION("IMPORTRANGE(""https://docs.google.com/spreadsheets/d/1MeEWN-I1oV_STSDYn1IFDPWt_1FKiwhDph83XaGc0o0/edit?usp=sharing"",""งบพรบ!AM69"")"),0)</f>
        <v>0</v>
      </c>
      <c r="N74" s="90">
        <f ca="1">IFERROR(__xludf.DUMMYFUNCTION("IMPORTRANGE(""https://docs.google.com/spreadsheets/d/1MeEWN-I1oV_STSDYn1IFDPWt_1FKiwhDph83XaGc0o0/edit?usp=sharing"",""งบพรบ!AO69"")"),0)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1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70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IFERROR(__xludf.DUMMYFUNCTION("IMPORTRANGE(""https://docs.google.com/spreadsheets/d/1QqKyyYR6Q21VydFLVH3TRQUabQu_ym0Zz7PgGX0-kHA/edit?usp=sharing"",""แผน!H69"")"),0)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IFERROR(__xludf.DUMMYFUNCTION("IMPORTRANGE(""https://docs.google.com/spreadsheets/d/1QqKyyYR6Q21VydFLVH3TRQUabQu_ym0Zz7PgGX0-kHA/edit?usp=sharing"",""แผน!I69"")"),0)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IFERROR(__xludf.DUMMYFUNCTION("IMPORTRANGE(""https://docs.google.com/spreadsheets/d/1QqKyyYR6Q21VydFLVH3TRQUabQu_ym0Zz7PgGX0-kHA/edit?usp=sharing"",""แผน!F69"")"),1)</f>
        <v>1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IFERROR(__xludf.DUMMYFUNCTION("IMPORTRANGE(""https://docs.google.com/spreadsheets/d/1QqKyyYR6Q21VydFLVH3TRQUabQu_ym0Zz7PgGX0-kHA/edit?usp=sharing"",""แผน!G69"")"),70)</f>
        <v>70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IFERROR(__xludf.DUMMYFUNCTION("IMPORTRANGE(""https://docs.google.com/spreadsheets/d/1QqKyyYR6Q21VydFLVH3TRQUabQu_ym0Zz7PgGX0-kHA/edit?usp=sharing"",""แผน!D69"")"),0)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IFERROR(__xludf.DUMMYFUNCTION("IMPORTRANGE(""https://docs.google.com/spreadsheets/d/1QqKyyYR6Q21VydFLVH3TRQUabQu_ym0Zz7PgGX0-kHA/edit?usp=sharing"",""แผน!E69"")"),0)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IFERROR(__xludf.DUMMYFUNCTION("IMPORTRANGE(""https://docs.google.com/spreadsheets/d/1QqKyyYR6Q21VydFLVH3TRQUabQu_ym0Zz7PgGX0-kHA/edit?usp=sharing"",""แผน!J69"")"),1)</f>
        <v>1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45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15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98960</v>
      </c>
      <c r="M88" s="151">
        <f t="shared" ca="1" si="49"/>
        <v>32760</v>
      </c>
      <c r="N88" s="151">
        <f t="shared" ca="1" si="49"/>
        <v>0</v>
      </c>
      <c r="O88" s="151">
        <f t="shared" ref="O88:O96" ca="1" si="50">IF(L88&gt;0,N88*100/L88,0)</f>
        <v>0</v>
      </c>
      <c r="P88" s="151">
        <f t="shared" ref="P88:P96" ca="1" si="51">IF(M88&gt;0,N88*100/M88,0)</f>
        <v>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98960</v>
      </c>
      <c r="M90" s="90">
        <f t="shared" ca="1" si="52"/>
        <v>32760</v>
      </c>
      <c r="N90" s="90">
        <f t="shared" ca="1" si="52"/>
        <v>0</v>
      </c>
      <c r="O90" s="90">
        <f t="shared" ca="1" si="50"/>
        <v>0</v>
      </c>
      <c r="P90" s="90">
        <f t="shared" ca="1" si="51"/>
        <v>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98960</v>
      </c>
      <c r="M91" s="495">
        <f t="shared" ca="1" si="53"/>
        <v>32760</v>
      </c>
      <c r="N91" s="495">
        <f t="shared" ca="1" si="53"/>
        <v>0</v>
      </c>
      <c r="O91" s="495">
        <f t="shared" ca="1" si="50"/>
        <v>0</v>
      </c>
      <c r="P91" s="495">
        <f t="shared" ca="1" si="51"/>
        <v>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IFERROR(__xludf.DUMMYFUNCTION("IMPORTRANGE(""https://docs.google.com/spreadsheets/d/1MeEWN-I1oV_STSDYn1IFDPWt_1FKiwhDph83XaGc0o0/edit?usp=sharing"",""งบพรบ!AQ69"")"),98960)</f>
        <v>98960</v>
      </c>
      <c r="M93" s="90">
        <f ca="1">IFERROR(__xludf.DUMMYFUNCTION("IMPORTRANGE(""https://docs.google.com/spreadsheets/d/1MeEWN-I1oV_STSDYn1IFDPWt_1FKiwhDph83XaGc0o0/edit?usp=sharing"",""งบพรบ!AV69"")"),32760)</f>
        <v>32760</v>
      </c>
      <c r="N93" s="90">
        <f ca="1">IFERROR(__xludf.DUMMYFUNCTION("IMPORTRANGE(""https://docs.google.com/spreadsheets/d/1MeEWN-I1oV_STSDYn1IFDPWt_1FKiwhDph83XaGc0o0/edit?usp=sharing"",""งบพรบ!AX69"")"),0)</f>
        <v>0</v>
      </c>
      <c r="O93" s="90">
        <f t="shared" ca="1" si="50"/>
        <v>0</v>
      </c>
      <c r="P93" s="90">
        <f t="shared" ca="1" si="51"/>
        <v>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IFERROR(__xludf.DUMMYFUNCTION("IMPORTRANGE(""https://docs.google.com/spreadsheets/d/1MeEWN-I1oV_STSDYn1IFDPWt_1FKiwhDph83XaGc0o0/edit?usp=sharing"",""งบพรบ!AT69"")"),0)</f>
        <v>0</v>
      </c>
      <c r="M96" s="90">
        <f ca="1">IFERROR(__xludf.DUMMYFUNCTION("IMPORTRANGE(""https://docs.google.com/spreadsheets/d/1MeEWN-I1oV_STSDYn1IFDPWt_1FKiwhDph83XaGc0o0/edit?usp=sharing"",""งบพรบ!AW69"")"),0)</f>
        <v>0</v>
      </c>
      <c r="N96" s="90">
        <f ca="1">IFERROR(__xludf.DUMMYFUNCTION("IMPORTRANGE(""https://docs.google.com/spreadsheets/d/1MeEWN-I1oV_STSDYn1IFDPWt_1FKiwhDph83XaGc0o0/edit?usp=sharing"",""งบพรบ!AY69"")"),0)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IFERROR(__xludf.DUMMYFUNCTION("IMPORTRANGE(""https://docs.google.com/spreadsheets/d/1QqKyyYR6Q21VydFLVH3TRQUabQu_ym0Zz7PgGX0-kHA/edit?usp=sharing"",""แผน!K69"")"),45)</f>
        <v>45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IFERROR(__xludf.DUMMYFUNCTION("IMPORTRANGE(""https://docs.google.com/spreadsheets/d/1QqKyyYR6Q21VydFLVH3TRQUabQu_ym0Zz7PgGX0-kHA/edit?usp=sharing"",""แผน!L69"")"),15)</f>
        <v>15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IFERROR(__xludf.DUMMYFUNCTION("IMPORTRANGE(""https://docs.google.com/spreadsheets/d/1QqKyyYR6Q21VydFLVH3TRQUabQu_ym0Zz7PgGX0-kHA/edit?usp=sharing"",""แผน!M69"")"),2)</f>
        <v>2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IFERROR(__xludf.DUMMYFUNCTION("IMPORTRANGE(""https://docs.google.com/spreadsheets/d/1QqKyyYR6Q21VydFLVH3TRQUabQu_ym0Zz7PgGX0-kHA/edit?usp=sharing"",""แผน!N69"")"),45)</f>
        <v>45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IFERROR(__xludf.DUMMYFUNCTION("IMPORTRANGE(""https://docs.google.com/spreadsheets/d/1QqKyyYR6Q21VydFLVH3TRQUabQu_ym0Zz7PgGX0-kHA/edit?usp=sharing"",""แผน!O69"")"),15)</f>
        <v>15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IFERROR(__xludf.DUMMYFUNCTION("IMPORTRANGE(""https://docs.google.com/spreadsheets/d/1QqKyyYR6Q21VydFLVH3TRQUabQu_ym0Zz7PgGX0-kHA/edit?usp=sharing"",""แผน!O69"")"),15)</f>
        <v>15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IFERROR(__xludf.DUMMYFUNCTION("IMPORTRANGE(""https://docs.google.com/spreadsheets/d/1QqKyyYR6Q21VydFLVH3TRQUabQu_ym0Zz7PgGX0-kHA/edit?usp=sharing"",""แผน!P69"")"),1)</f>
        <v>1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IFERROR(__xludf.DUMMYFUNCTION("IMPORTRANGE(""https://docs.google.com/spreadsheets/d/1QqKyyYR6Q21VydFLVH3TRQUabQu_ym0Zz7PgGX0-kHA/edit?usp=sharing"",""แผน!P69"")"),1)</f>
        <v>1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IFERROR(__xludf.DUMMYFUNCTION("IMPORTRANGE(""https://docs.google.com/spreadsheets/d/1QqKyyYR6Q21VydFLVH3TRQUabQu_ym0Zz7PgGX0-kHA/edit?usp=sharing"",""แผน!Q69"")"),1)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IFERROR(__xludf.DUMMYFUNCTION("IMPORTRANGE(""https://docs.google.com/spreadsheets/d/1QqKyyYR6Q21VydFLVH3TRQUabQu_ym0Zz7PgGX0-kHA/edit?usp=sharing"",""แผน!Q69"")"),1)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IFERROR(__xludf.DUMMYFUNCTION("IMPORTRANGE(""https://docs.google.com/spreadsheets/d/1QqKyyYR6Q21VydFLVH3TRQUabQu_ym0Zz7PgGX0-kHA/edit?usp=sharing"",""แผน!R69"")"),15)</f>
        <v>15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2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IFERROR(__xludf.DUMMYFUNCTION("IMPORTRANGE(""https://docs.google.com/spreadsheets/d/1QqKyyYR6Q21VydFLVH3TRQUabQu_ym0Zz7PgGX0-kHA/edit?usp=sharing"",""แผน!R69"")"),15)</f>
        <v>15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IFERROR(__xludf.DUMMYFUNCTION("IMPORTRANGE(""https://docs.google.com/spreadsheets/d/1QqKyyYR6Q21VydFLVH3TRQUabQu_ym0Zz7PgGX0-kHA/edit?usp=sharing"",""แผน!R69"")"),15)</f>
        <v>15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IFERROR(__xludf.DUMMYFUNCTION("IMPORTRANGE(""https://docs.google.com/spreadsheets/d/1QqKyyYR6Q21VydFLVH3TRQUabQu_ym0Zz7PgGX0-kHA/edit?usp=sharing"",""แผน!S69"")"),1)</f>
        <v>1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IFERROR(__xludf.DUMMYFUNCTION("IMPORTRANGE(""https://docs.google.com/spreadsheets/d/1QqKyyYR6Q21VydFLVH3TRQUabQu_ym0Zz7PgGX0-kHA/edit?usp=sharing"",""แผน!T69"")"),1)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26800</v>
      </c>
      <c r="M119" s="151">
        <f t="shared" ca="1" si="60"/>
        <v>26800</v>
      </c>
      <c r="N119" s="151">
        <f t="shared" ca="1" si="60"/>
        <v>26800</v>
      </c>
      <c r="O119" s="151">
        <f t="shared" ref="O119:O127" ca="1" si="61">IF(L119&gt;0,N119*100/L119,0)</f>
        <v>100</v>
      </c>
      <c r="P119" s="151">
        <f t="shared" ref="P119:P127" ca="1" si="62">IF(M119&gt;0,N119*100/M119,0)</f>
        <v>100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26800</v>
      </c>
      <c r="M121" s="90">
        <f t="shared" ca="1" si="63"/>
        <v>26800</v>
      </c>
      <c r="N121" s="90">
        <f t="shared" ca="1" si="63"/>
        <v>26800</v>
      </c>
      <c r="O121" s="90">
        <f t="shared" ca="1" si="61"/>
        <v>100</v>
      </c>
      <c r="P121" s="90">
        <f t="shared" ca="1" si="62"/>
        <v>100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IFERROR(__xludf.DUMMYFUNCTION("IMPORTRANGE(""https://docs.google.com/spreadsheets/d/1MeEWN-I1oV_STSDYn1IFDPWt_1FKiwhDph83XaGc0o0/edit?usp=sharing"",""งบพรบ!BA69"")"),0)</f>
        <v>0</v>
      </c>
      <c r="M124" s="90">
        <f ca="1">IFERROR(__xludf.DUMMYFUNCTION("IMPORTRANGE(""https://docs.google.com/spreadsheets/d/1MeEWN-I1oV_STSDYn1IFDPWt_1FKiwhDph83XaGc0o0/edit?usp=sharing"",""งบพรบ!BF69"")"),0)</f>
        <v>0</v>
      </c>
      <c r="N124" s="90">
        <f ca="1">IFERROR(__xludf.DUMMYFUNCTION("IMPORTRANGE(""https://docs.google.com/spreadsheets/d/1MeEWN-I1oV_STSDYn1IFDPWt_1FKiwhDph83XaGc0o0/edit?usp=sharing"",""งบพรบ!BH69"")"),0)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26800</v>
      </c>
      <c r="M125" s="495">
        <f t="shared" ca="1" si="65"/>
        <v>26800</v>
      </c>
      <c r="N125" s="495">
        <f t="shared" ca="1" si="65"/>
        <v>26800</v>
      </c>
      <c r="O125" s="495">
        <f t="shared" ca="1" si="61"/>
        <v>100</v>
      </c>
      <c r="P125" s="495">
        <f t="shared" ca="1" si="62"/>
        <v>100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IFERROR(__xludf.DUMMYFUNCTION("IMPORTRANGE(""https://docs.google.com/spreadsheets/d/1MeEWN-I1oV_STSDYn1IFDPWt_1FKiwhDph83XaGc0o0/edit?usp=sharing"",""งบพรบ!BD69"")"),26800)</f>
        <v>26800</v>
      </c>
      <c r="M127" s="90">
        <f ca="1">IFERROR(__xludf.DUMMYFUNCTION("IMPORTRANGE(""https://docs.google.com/spreadsheets/d/1MeEWN-I1oV_STSDYn1IFDPWt_1FKiwhDph83XaGc0o0/edit?usp=sharing"",""งบพรบ!BG69"")"),26800)</f>
        <v>26800</v>
      </c>
      <c r="N127" s="90">
        <f ca="1">IFERROR(__xludf.DUMMYFUNCTION("IMPORTRANGE(""https://docs.google.com/spreadsheets/d/1MeEWN-I1oV_STSDYn1IFDPWt_1FKiwhDph83XaGc0o0/edit?usp=sharing"",""งบพรบ!BI69"")"),26800)</f>
        <v>26800</v>
      </c>
      <c r="O127" s="90">
        <f t="shared" ca="1" si="61"/>
        <v>100</v>
      </c>
      <c r="P127" s="90">
        <f t="shared" ca="1" si="62"/>
        <v>100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IFERROR(__xludf.DUMMYFUNCTION("IMPORTRANGE(""https://docs.google.com/spreadsheets/d/1MeEWN-I1oV_STSDYn1IFDPWt_1FKiwhDph83XaGc0o0/edit?usp=sharing"",""งบพรบ!BK69"")"),0)</f>
        <v>0</v>
      </c>
      <c r="M137" s="90">
        <f ca="1">IFERROR(__xludf.DUMMYFUNCTION("IMPORTRANGE(""https://docs.google.com/spreadsheets/d/1MeEWN-I1oV_STSDYn1IFDPWt_1FKiwhDph83XaGc0o0/edit?usp=sharing"",""งบพรบ!BP69"")"),0)</f>
        <v>0</v>
      </c>
      <c r="N137" s="90">
        <f ca="1">IFERROR(__xludf.DUMMYFUNCTION("IMPORTRANGE(""https://docs.google.com/spreadsheets/d/1MeEWN-I1oV_STSDYn1IFDPWt_1FKiwhDph83XaGc0o0/edit?usp=sharing"",""งบพรบ!BR69"")"),0)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IFERROR(__xludf.DUMMYFUNCTION("IMPORTRANGE(""https://docs.google.com/spreadsheets/d/1MeEWN-I1oV_STSDYn1IFDPWt_1FKiwhDph83XaGc0o0/edit?usp=sharing"",""งบพรบ!BN69"")"),0)</f>
        <v>0</v>
      </c>
      <c r="M140" s="90">
        <f ca="1">IFERROR(__xludf.DUMMYFUNCTION("IMPORTRANGE(""https://docs.google.com/spreadsheets/d/1MeEWN-I1oV_STSDYn1IFDPWt_1FKiwhDph83XaGc0o0/edit?usp=sharing"",""งบพรบ!BQ69"")"),0)</f>
        <v>0</v>
      </c>
      <c r="N140" s="90">
        <f ca="1">IFERROR(__xludf.DUMMYFUNCTION("IMPORTRANGE(""https://docs.google.com/spreadsheets/d/1MeEWN-I1oV_STSDYn1IFDPWt_1FKiwhDph83XaGc0o0/edit?usp=sharing"",""งบพรบ!BS69"")"),0)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IFERROR(__xludf.DUMMYFUNCTION("IMPORTRANGE(""https://docs.google.com/spreadsheets/d/1QqKyyYR6Q21VydFLVH3TRQUabQu_ym0Zz7PgGX0-kHA/edit?usp=sharing"",""แผน!U69"")"),0)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IFERROR(__xludf.DUMMYFUNCTION("IMPORTRANGE(""https://docs.google.com/spreadsheets/d/1QqKyyYR6Q21VydFLVH3TRQUabQu_ym0Zz7PgGX0-kHA/edit?usp=sharing"",""แผน!V69"")"),0)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IFERROR(__xludf.DUMMYFUNCTION("IMPORTRANGE(""https://docs.google.com/spreadsheets/d/1QqKyyYR6Q21VydFLVH3TRQUabQu_ym0Zz7PgGX0-kHA/edit?usp=sharing"",""แผน!W69"")"),0)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IFERROR(__xludf.DUMMYFUNCTION("IMPORTRANGE(""https://docs.google.com/spreadsheets/d/1MeEWN-I1oV_STSDYn1IFDPWt_1FKiwhDph83XaGc0o0/edit?usp=sharing"",""งบพรบ!BU69"")"),0)</f>
        <v>0</v>
      </c>
      <c r="M154" s="90">
        <f ca="1">IFERROR(__xludf.DUMMYFUNCTION("IMPORTRANGE(""https://docs.google.com/spreadsheets/d/1MeEWN-I1oV_STSDYn1IFDPWt_1FKiwhDph83XaGc0o0/edit?usp=sharing"",""งบพรบ!BZ69"")"),0)</f>
        <v>0</v>
      </c>
      <c r="N154" s="90">
        <f ca="1">IFERROR(__xludf.DUMMYFUNCTION("IMPORTRANGE(""https://docs.google.com/spreadsheets/d/1MeEWN-I1oV_STSDYn1IFDPWt_1FKiwhDph83XaGc0o0/edit?usp=sharing"",""งบพรบ!CB69"")"),0)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IFERROR(__xludf.DUMMYFUNCTION("IMPORTRANGE(""https://docs.google.com/spreadsheets/d/1MeEWN-I1oV_STSDYn1IFDPWt_1FKiwhDph83XaGc0o0/edit?usp=sharing"",""งบพรบ!BX69"")"),0)</f>
        <v>0</v>
      </c>
      <c r="M157" s="90">
        <f ca="1">IFERROR(__xludf.DUMMYFUNCTION("IMPORTRANGE(""https://docs.google.com/spreadsheets/d/1MeEWN-I1oV_STSDYn1IFDPWt_1FKiwhDph83XaGc0o0/edit?usp=sharing"",""งบพรบ!CA69"")"),0)</f>
        <v>0</v>
      </c>
      <c r="N157" s="90">
        <f ca="1">IFERROR(__xludf.DUMMYFUNCTION("IMPORTRANGE(""https://docs.google.com/spreadsheets/d/1MeEWN-I1oV_STSDYn1IFDPWt_1FKiwhDph83XaGc0o0/edit?usp=sharing"",""งบพรบ!CC69"")"),0)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IFERROR(__xludf.DUMMYFUNCTION("IMPORTRANGE(""https://docs.google.com/spreadsheets/d/1QqKyyYR6Q21VydFLVH3TRQUabQu_ym0Zz7PgGX0-kHA/edit?usp=sharing"",""แผน!X69"")"),0)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21050</v>
      </c>
      <c r="M165" s="150">
        <f t="shared" ca="1" si="84"/>
        <v>21050</v>
      </c>
      <c r="N165" s="150">
        <f t="shared" ca="1" si="84"/>
        <v>16100</v>
      </c>
      <c r="O165" s="150">
        <f t="shared" ref="O165:O173" ca="1" si="85">IF(L165&gt;0,N165*100/L165,0)</f>
        <v>76.484560570071253</v>
      </c>
      <c r="P165" s="150">
        <f t="shared" ref="P165:P173" ca="1" si="86">IF(M165&gt;0,N165*100/M165,0)</f>
        <v>76.484560570071253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21050</v>
      </c>
      <c r="M167" s="90">
        <f t="shared" ca="1" si="87"/>
        <v>21050</v>
      </c>
      <c r="N167" s="90">
        <f t="shared" ca="1" si="87"/>
        <v>16100</v>
      </c>
      <c r="O167" s="90">
        <f t="shared" ca="1" si="85"/>
        <v>76.484560570071253</v>
      </c>
      <c r="P167" s="90">
        <f t="shared" ca="1" si="86"/>
        <v>76.484560570071253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21050</v>
      </c>
      <c r="M168" s="495">
        <f t="shared" ca="1" si="88"/>
        <v>21050</v>
      </c>
      <c r="N168" s="495">
        <f t="shared" ca="1" si="88"/>
        <v>16100</v>
      </c>
      <c r="O168" s="495">
        <f t="shared" ca="1" si="85"/>
        <v>76.484560570071253</v>
      </c>
      <c r="P168" s="495">
        <f t="shared" ca="1" si="86"/>
        <v>76.484560570071253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IFERROR(__xludf.DUMMYFUNCTION("IMPORTRANGE(""https://docs.google.com/spreadsheets/d/1MeEWN-I1oV_STSDYn1IFDPWt_1FKiwhDph83XaGc0o0/edit?usp=sharing"",""งบพรบ!CE69"")"),21050)</f>
        <v>21050</v>
      </c>
      <c r="M170" s="90">
        <f ca="1">IFERROR(__xludf.DUMMYFUNCTION("IMPORTRANGE(""https://docs.google.com/spreadsheets/d/1MeEWN-I1oV_STSDYn1IFDPWt_1FKiwhDph83XaGc0o0/edit?usp=sharing"",""งบพรบ!CJ69"")"),21050)</f>
        <v>21050</v>
      </c>
      <c r="N170" s="90">
        <f ca="1">IFERROR(__xludf.DUMMYFUNCTION("IMPORTRANGE(""https://docs.google.com/spreadsheets/d/1MeEWN-I1oV_STSDYn1IFDPWt_1FKiwhDph83XaGc0o0/edit?usp=sharing"",""งบพรบ!CL69"")"),16100)</f>
        <v>16100</v>
      </c>
      <c r="O170" s="90">
        <f t="shared" ca="1" si="85"/>
        <v>76.484560570071253</v>
      </c>
      <c r="P170" s="90">
        <f t="shared" ca="1" si="86"/>
        <v>76.484560570071253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IFERROR(__xludf.DUMMYFUNCTION("IMPORTRANGE(""https://docs.google.com/spreadsheets/d/1MeEWN-I1oV_STSDYn1IFDPWt_1FKiwhDph83XaGc0o0/edit?usp=sharing"",""งบพรบ!CH69"")"),0)</f>
        <v>0</v>
      </c>
      <c r="M173" s="90">
        <f ca="1">IFERROR(__xludf.DUMMYFUNCTION("IMPORTRANGE(""https://docs.google.com/spreadsheets/d/1MeEWN-I1oV_STSDYn1IFDPWt_1FKiwhDph83XaGc0o0/edit?usp=sharing"",""งบพรบ!CK69"")"),0)</f>
        <v>0</v>
      </c>
      <c r="N173" s="90">
        <f ca="1">IFERROR(__xludf.DUMMYFUNCTION("IMPORTRANGE(""https://docs.google.com/spreadsheets/d/1MeEWN-I1oV_STSDYn1IFDPWt_1FKiwhDph83XaGc0o0/edit?usp=sharing"",""งบพรบ!CM69"")"),0)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IFERROR(__xludf.DUMMYFUNCTION("IMPORTRANGE(""https://docs.google.com/spreadsheets/d/1QqKyyYR6Q21VydFLVH3TRQUabQu_ym0Zz7PgGX0-kHA/edit?usp=sharing"",""แผน!Y69"")"),10)</f>
        <v>10</v>
      </c>
      <c r="J176" s="210"/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60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276800</v>
      </c>
      <c r="M181" s="150">
        <f t="shared" ca="1" si="91"/>
        <v>153800</v>
      </c>
      <c r="N181" s="150">
        <f t="shared" ca="1" si="91"/>
        <v>126440</v>
      </c>
      <c r="O181" s="150">
        <f t="shared" ref="O181:O189" ca="1" si="92">IF(L181&gt;0,N181*100/L181,0)</f>
        <v>45.679190751445084</v>
      </c>
      <c r="P181" s="150">
        <f t="shared" ref="P181:P189" ca="1" si="93">IF(M181&gt;0,N181*100/M181,0)</f>
        <v>82.210663198959693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276800</v>
      </c>
      <c r="M183" s="90">
        <f t="shared" ca="1" si="94"/>
        <v>153800</v>
      </c>
      <c r="N183" s="90">
        <f t="shared" ca="1" si="94"/>
        <v>126440</v>
      </c>
      <c r="O183" s="90">
        <f t="shared" ca="1" si="92"/>
        <v>45.679190751445084</v>
      </c>
      <c r="P183" s="90">
        <f t="shared" ca="1" si="93"/>
        <v>82.210663198959693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276800</v>
      </c>
      <c r="M184" s="495">
        <f t="shared" ca="1" si="95"/>
        <v>153800</v>
      </c>
      <c r="N184" s="495">
        <f t="shared" ca="1" si="95"/>
        <v>126440</v>
      </c>
      <c r="O184" s="495">
        <f t="shared" ca="1" si="92"/>
        <v>45.679190751445084</v>
      </c>
      <c r="P184" s="495">
        <f t="shared" ca="1" si="93"/>
        <v>82.210663198959693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IFERROR(__xludf.DUMMYFUNCTION("IMPORTRANGE(""https://docs.google.com/spreadsheets/d/1MeEWN-I1oV_STSDYn1IFDPWt_1FKiwhDph83XaGc0o0/edit?usp=sharing"",""งบพรบ!CO69"")"),276800)</f>
        <v>276800</v>
      </c>
      <c r="M186" s="90">
        <f ca="1">IFERROR(__xludf.DUMMYFUNCTION("IMPORTRANGE(""https://docs.google.com/spreadsheets/d/1MeEWN-I1oV_STSDYn1IFDPWt_1FKiwhDph83XaGc0o0/edit?usp=sharing"",""งบพรบ!CT69"")"),153800)</f>
        <v>153800</v>
      </c>
      <c r="N186" s="90">
        <f ca="1">IFERROR(__xludf.DUMMYFUNCTION("IMPORTRANGE(""https://docs.google.com/spreadsheets/d/1MeEWN-I1oV_STSDYn1IFDPWt_1FKiwhDph83XaGc0o0/edit?usp=sharing"",""งบพรบ!CV69"")"),126440)</f>
        <v>126440</v>
      </c>
      <c r="O186" s="90">
        <f t="shared" ca="1" si="92"/>
        <v>45.679190751445084</v>
      </c>
      <c r="P186" s="90">
        <f t="shared" ca="1" si="93"/>
        <v>82.210663198959693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IFERROR(__xludf.DUMMYFUNCTION("IMPORTRANGE(""https://docs.google.com/spreadsheets/d/1MeEWN-I1oV_STSDYn1IFDPWt_1FKiwhDph83XaGc0o0/edit?usp=sharing"",""งบพรบ!CR69"")"),0)</f>
        <v>0</v>
      </c>
      <c r="M189" s="90">
        <f ca="1">IFERROR(__xludf.DUMMYFUNCTION("IMPORTRANGE(""https://docs.google.com/spreadsheets/d/1MeEWN-I1oV_STSDYn1IFDPWt_1FKiwhDph83XaGc0o0/edit?usp=sharing"",""งบพรบ!CU69"")"),0)</f>
        <v>0</v>
      </c>
      <c r="N189" s="90">
        <f ca="1">IFERROR(__xludf.DUMMYFUNCTION("IMPORTRANGE(""https://docs.google.com/spreadsheets/d/1MeEWN-I1oV_STSDYn1IFDPWt_1FKiwhDph83XaGc0o0/edit?usp=sharing"",""งบพรบ!CW69"")"),0)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IFERROR(__xludf.DUMMYFUNCTION("IMPORTRANGE(""https://docs.google.com/spreadsheets/d/1QqKyyYR6Q21VydFLVH3TRQUabQu_ym0Zz7PgGX0-kHA/edit?usp=sharing"",""แผน!Z69"")"),6000)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IFERROR(__xludf.DUMMYFUNCTION("IMPORTRANGE(""https://docs.google.com/spreadsheets/d/1QqKyyYR6Q21VydFLVH3TRQUabQu_ym0Zz7PgGX0-kHA/edit?usp=sharing"",""แผน!AC69"")"),4)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3</v>
      </c>
      <c r="J197" s="266">
        <f t="shared" si="98"/>
        <v>3</v>
      </c>
      <c r="K197" s="267">
        <f ca="1">IF(I197&gt;0,J197*100/I197,0)</f>
        <v>100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39000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IFERROR(__xludf.DUMMYFUNCTION("IMPORTRANGE(""https://docs.google.com/spreadsheets/d/1QqKyyYR6Q21VydFLVH3TRQUabQu_ym0Zz7PgGX0-kHA/edit?usp=sharing"",""แผน!AE69"")"),3000)</f>
        <v>3000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IFERROR(__xludf.DUMMYFUNCTION("IMPORTRANGE(""https://docs.google.com/spreadsheets/d/1QqKyyYR6Q21VydFLVH3TRQUabQu_ym0Zz7PgGX0-kHA/edit?usp=sharing"",""แผน!AF69"")"),24000)</f>
        <v>24000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IFERROR(__xludf.DUMMYFUNCTION("IMPORTRANGE(""https://docs.google.com/spreadsheets/d/1QqKyyYR6Q21VydFLVH3TRQUabQu_ym0Zz7PgGX0-kHA/edit?usp=sharing"",""แผน!AG69"")"),12000)</f>
        <v>12000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IFERROR(__xludf.DUMMYFUNCTION("IMPORTRANGE(""https://docs.google.com/spreadsheets/d/1QqKyyYR6Q21VydFLVH3TRQUabQu_ym0Zz7PgGX0-kHA/edit?usp=sharing"",""แผน!AH69"")"),0)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IFERROR(__xludf.DUMMYFUNCTION("IMPORTRANGE(""https://docs.google.com/spreadsheets/d/1QqKyyYR6Q21VydFLVH3TRQUabQu_ym0Zz7PgGX0-kHA/edit?usp=sharing"",""แผน!AI69"")"),3)</f>
        <v>3</v>
      </c>
      <c r="J204" s="210">
        <v>3</v>
      </c>
      <c r="K204" s="159">
        <f ca="1">IF(I204&gt;0,J204*100/I204,0)</f>
        <v>100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3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6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84000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IFERROR(__xludf.DUMMYFUNCTION("IMPORTRANGE(""https://docs.google.com/spreadsheets/d/1QqKyyYR6Q21VydFLVH3TRQUabQu_ym0Zz7PgGX0-kHA/edit?usp=sharing"",""แผน!AK69"")"),6000)</f>
        <v>6000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IFERROR(__xludf.DUMMYFUNCTION("IMPORTRANGE(""https://docs.google.com/spreadsheets/d/1QqKyyYR6Q21VydFLVH3TRQUabQu_ym0Zz7PgGX0-kHA/edit?usp=sharing"",""แผน!AL69"")"),30000)</f>
        <v>30000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IFERROR(__xludf.DUMMYFUNCTION("IMPORTRANGE(""https://docs.google.com/spreadsheets/d/1QqKyyYR6Q21VydFLVH3TRQUabQu_ym0Zz7PgGX0-kHA/edit?usp=sharing"",""แผน!AM69"")"),48000)</f>
        <v>48000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IFERROR(__xludf.DUMMYFUNCTION("IMPORTRANGE(""https://docs.google.com/spreadsheets/d/1QqKyyYR6Q21VydFLVH3TRQUabQu_ym0Zz7PgGX0-kHA/edit?usp=sharing"",""แผน!AN69"")"),6)</f>
        <v>6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IFERROR(__xludf.DUMMYFUNCTION("IMPORTRANGE(""https://docs.google.com/spreadsheets/d/1QqKyyYR6Q21VydFLVH3TRQUabQu_ym0Zz7PgGX0-kHA/edit?usp=sharing"",""แผน!AN69"")"),6)</f>
        <v>6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40000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15000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IFERROR(__xludf.DUMMYFUNCTION("IMPORTRANGE(""https://docs.google.com/spreadsheets/d/1QqKyyYR6Q21VydFLVH3TRQUabQu_ym0Zz7PgGX0-kHA/edit?usp=sharing"",""แผน!AP69"")"),5000)</f>
        <v>5000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IFERROR(__xludf.DUMMYFUNCTION("IMPORTRANGE(""https://docs.google.com/spreadsheets/d/1QqKyyYR6Q21VydFLVH3TRQUabQu_ym0Zz7PgGX0-kHA/edit?usp=sharing"",""แผน!AQ69"")"),10000)</f>
        <v>10000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IFERROR(__xludf.DUMMYFUNCTION("IMPORTRANGE(""https://docs.google.com/spreadsheets/d/1QqKyyYR6Q21VydFLVH3TRQUabQu_ym0Zz7PgGX0-kHA/edit?usp=sharing"",""แผน!AR69"")"),0)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IFERROR(__xludf.DUMMYFUNCTION("IMPORTRANGE(""https://docs.google.com/spreadsheets/d/1QqKyyYR6Q21VydFLVH3TRQUabQu_ym0Zz7PgGX0-kHA/edit?usp=sharing"",""แผน!AT69"")"),40000)</f>
        <v>40000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IFERROR(__xludf.DUMMYFUNCTION("IMPORTRANGE(""https://docs.google.com/spreadsheets/d/1QqKyyYR6Q21VydFLVH3TRQUabQu_ym0Zz7PgGX0-kHA/edit?usp=sharing"",""แผน!AT69"")"),40000)</f>
        <v>40000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IFERROR(__xludf.DUMMYFUNCTION("IMPORTRANGE(""https://docs.google.com/spreadsheets/d/1QqKyyYR6Q21VydFLVH3TRQUabQu_ym0Zz7PgGX0-kHA/edit?usp=sharing"",""แผน!AS69"")"),0)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>
        <f t="shared" ref="I226:J226" ca="1" si="104">I237+I248</f>
        <v>60</v>
      </c>
      <c r="J226" s="340">
        <f t="shared" si="104"/>
        <v>60</v>
      </c>
      <c r="K226" s="341">
        <f t="shared" ca="1" si="103"/>
        <v>100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132800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40000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52800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10000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30000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>
        <f t="shared" ref="I233:J233" ca="1" si="107">I244+I255</f>
        <v>60</v>
      </c>
      <c r="J233" s="609">
        <f t="shared" si="107"/>
        <v>60</v>
      </c>
      <c r="K233" s="90">
        <f ca="1">IF(I233&gt;0,J233*100/I233,0)</f>
        <v>100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20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2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20</v>
      </c>
      <c r="J237" s="266">
        <f t="shared" si="110"/>
        <v>20</v>
      </c>
      <c r="K237" s="267">
        <f t="shared" ca="1" si="109"/>
        <v>100</v>
      </c>
      <c r="L237" s="256"/>
      <c r="M237" s="256"/>
      <c r="N237" s="256"/>
      <c r="O237" s="256"/>
      <c r="P237" s="256"/>
    </row>
    <row r="238" spans="1:26" ht="19.5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68800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IFERROR(__xludf.DUMMYFUNCTION("IMPORTRANGE(""https://docs.google.com/spreadsheets/d/1QqKyyYR6Q21VydFLVH3TRQUabQu_ym0Zz7PgGX0-kHA/edit?usp=sharing"",""แผน!AV69"")"),20000)</f>
        <v>20000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IFERROR(__xludf.DUMMYFUNCTION("IMPORTRANGE(""https://docs.google.com/spreadsheets/d/1QqKyyYR6Q21VydFLVH3TRQUabQu_ym0Zz7PgGX0-kHA/edit?usp=sharing"",""แผน!AW69"")"),18800)</f>
        <v>18800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IFERROR(__xludf.DUMMYFUNCTION("IMPORTRANGE(""https://docs.google.com/spreadsheets/d/1QqKyyYR6Q21VydFLVH3TRQUabQu_ym0Zz7PgGX0-kHA/edit?usp=sharing"",""แผน!AX69"")"),10000)</f>
        <v>10000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IFERROR(__xludf.DUMMYFUNCTION("IMPORTRANGE(""https://docs.google.com/spreadsheets/d/1QqKyyYR6Q21VydFLVH3TRQUabQu_ym0Zz7PgGX0-kHA/edit?usp=sharing"",""แผน!AY69"")"),20000)</f>
        <v>20000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IFERROR(__xludf.DUMMYFUNCTION("IMPORTRANGE(""https://docs.google.com/spreadsheets/d/1QqKyyYR6Q21VydFLVH3TRQUabQu_ym0Zz7PgGX0-kHA/edit?usp=sharing"",""แผน!BE69"")"),20)</f>
        <v>20</v>
      </c>
      <c r="J244" s="210">
        <v>20</v>
      </c>
      <c r="K244" s="495">
        <f ca="1">IF(I244&gt;0,J244*100/I244,0)</f>
        <v>100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>
        <v>20</v>
      </c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>
        <v>1</v>
      </c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>
        <f t="shared" ref="I248:J248" ca="1" si="112">I255</f>
        <v>40</v>
      </c>
      <c r="J248" s="266">
        <f t="shared" si="112"/>
        <v>40</v>
      </c>
      <c r="K248" s="267">
        <f t="shared" ca="1" si="111"/>
        <v>100</v>
      </c>
      <c r="L248" s="256"/>
      <c r="M248" s="256"/>
      <c r="N248" s="256"/>
      <c r="O248" s="256"/>
      <c r="P248" s="256"/>
    </row>
    <row r="249" spans="1:26" ht="19.5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64000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IFERROR(__xludf.DUMMYFUNCTION("IMPORTRANGE(""https://docs.google.com/spreadsheets/d/1QqKyyYR6Q21VydFLVH3TRQUabQu_ym0Zz7PgGX0-kHA/edit?usp=sharing"",""แผน!AZ69"")"),20000)</f>
        <v>20000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IFERROR(__xludf.DUMMYFUNCTION("IMPORTRANGE(""https://docs.google.com/spreadsheets/d/1QqKyyYR6Q21VydFLVH3TRQUabQu_ym0Zz7PgGX0-kHA/edit?usp=sharing"",""แผน!BA69"")"),34000)</f>
        <v>34000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IFERROR(__xludf.DUMMYFUNCTION("IMPORTRANGE(""https://docs.google.com/spreadsheets/d/1QqKyyYR6Q21VydFLVH3TRQUabQu_ym0Zz7PgGX0-kHA/edit?usp=sharing"",""แผน!BB69"")"),0)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IFERROR(__xludf.DUMMYFUNCTION("IMPORTRANGE(""https://docs.google.com/spreadsheets/d/1QqKyyYR6Q21VydFLVH3TRQUabQu_ym0Zz7PgGX0-kHA/edit?usp=sharing"",""แผน!BC69"")"),10000)</f>
        <v>10000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>
        <f ca="1">IFERROR(__xludf.DUMMYFUNCTION("IMPORTRANGE(""https://docs.google.com/spreadsheets/d/1QqKyyYR6Q21VydFLVH3TRQUabQu_ym0Zz7PgGX0-kHA/edit?usp=sharing"",""แผน!BF69"")"),40)</f>
        <v>40</v>
      </c>
      <c r="J255" s="210">
        <v>40</v>
      </c>
      <c r="K255" s="495">
        <f ca="1">IF(I255&gt;0,J255*100/I255,0)</f>
        <v>100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>
        <v>0</v>
      </c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>
        <v>1</v>
      </c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IFERROR(__xludf.DUMMYFUNCTION("IMPORTRANGE(""https://docs.google.com/spreadsheets/d/1MeEWN-I1oV_STSDYn1IFDPWt_1FKiwhDph83XaGc0o0/edit?usp=sharing"",""งบพรบ!CY69"")"),26900)</f>
        <v>26900</v>
      </c>
      <c r="M266" s="90">
        <f ca="1">IFERROR(__xludf.DUMMYFUNCTION("IMPORTRANGE(""https://docs.google.com/spreadsheets/d/1MeEWN-I1oV_STSDYn1IFDPWt_1FKiwhDph83XaGc0o0/edit?usp=sharing"",""งบพรบ!DD69"")"),0)</f>
        <v>0</v>
      </c>
      <c r="N266" s="90">
        <f ca="1">IFERROR(__xludf.DUMMYFUNCTION("IMPORTRANGE(""https://docs.google.com/spreadsheets/d/1MeEWN-I1oV_STSDYn1IFDPWt_1FKiwhDph83XaGc0o0/edit?usp=sharing"",""งบพรบ!DF69"")"),0)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IFERROR(__xludf.DUMMYFUNCTION("IMPORTRANGE(""https://docs.google.com/spreadsheets/d/1MeEWN-I1oV_STSDYn1IFDPWt_1FKiwhDph83XaGc0o0/edit?usp=sharing"",""งบพรบ!DB69"")"),0)</f>
        <v>0</v>
      </c>
      <c r="M269" s="90">
        <f ca="1">IFERROR(__xludf.DUMMYFUNCTION("IMPORTRANGE(""https://docs.google.com/spreadsheets/d/1MeEWN-I1oV_STSDYn1IFDPWt_1FKiwhDph83XaGc0o0/edit?usp=sharing"",""งบพรบ!DE69"")"),0)</f>
        <v>0</v>
      </c>
      <c r="N269" s="90">
        <f ca="1">IFERROR(__xludf.DUMMYFUNCTION("IMPORTRANGE(""https://docs.google.com/spreadsheets/d/1MeEWN-I1oV_STSDYn1IFDPWt_1FKiwhDph83XaGc0o0/edit?usp=sharing"",""งบพรบ!DG69"")"),0)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IFERROR(__xludf.DUMMYFUNCTION("IMPORTRANGE(""https://docs.google.com/spreadsheets/d/1QqKyyYR6Q21VydFLVH3TRQUabQu_ym0Zz7PgGX0-kHA/edit?usp=sharing"",""แผน!EA69"")"),22)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30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300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111710</v>
      </c>
      <c r="M277" s="151">
        <f t="shared" ca="1" si="124"/>
        <v>46460</v>
      </c>
      <c r="N277" s="151">
        <f t="shared" ca="1" si="124"/>
        <v>41500</v>
      </c>
      <c r="O277" s="151">
        <f t="shared" ref="O277:O285" ca="1" si="125">IF(L277&gt;0,N277*100/L277,0)</f>
        <v>37.14976277862322</v>
      </c>
      <c r="P277" s="151">
        <f t="shared" ref="P277:P285" ca="1" si="126">IF(M277&gt;0,N277*100/M277,0)</f>
        <v>89.324149806284979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111710</v>
      </c>
      <c r="M279" s="90">
        <f t="shared" ca="1" si="127"/>
        <v>46460</v>
      </c>
      <c r="N279" s="90">
        <f t="shared" ca="1" si="127"/>
        <v>41500</v>
      </c>
      <c r="O279" s="90">
        <f t="shared" ca="1" si="125"/>
        <v>37.14976277862322</v>
      </c>
      <c r="P279" s="90">
        <f t="shared" ca="1" si="126"/>
        <v>89.324149806284979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111710</v>
      </c>
      <c r="M280" s="495">
        <f t="shared" ca="1" si="128"/>
        <v>46460</v>
      </c>
      <c r="N280" s="495">
        <f t="shared" ca="1" si="128"/>
        <v>41500</v>
      </c>
      <c r="O280" s="495">
        <f t="shared" ca="1" si="125"/>
        <v>37.14976277862322</v>
      </c>
      <c r="P280" s="495">
        <f t="shared" ca="1" si="126"/>
        <v>89.324149806284979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IFERROR(__xludf.DUMMYFUNCTION("IMPORTRANGE(""https://docs.google.com/spreadsheets/d/1MeEWN-I1oV_STSDYn1IFDPWt_1FKiwhDph83XaGc0o0/edit?usp=sharing"",""งบพรบ!DI69"")"),111710)</f>
        <v>111710</v>
      </c>
      <c r="M282" s="90">
        <f ca="1">IFERROR(__xludf.DUMMYFUNCTION("IMPORTRANGE(""https://docs.google.com/spreadsheets/d/1MeEWN-I1oV_STSDYn1IFDPWt_1FKiwhDph83XaGc0o0/edit?usp=sharing"",""งบพรบ!DN69"")"),46460)</f>
        <v>46460</v>
      </c>
      <c r="N282" s="90">
        <f ca="1">IFERROR(__xludf.DUMMYFUNCTION("IMPORTRANGE(""https://docs.google.com/spreadsheets/d/1MeEWN-I1oV_STSDYn1IFDPWt_1FKiwhDph83XaGc0o0/edit?usp=sharing"",""งบพรบ!DP69"")"),41500)</f>
        <v>41500</v>
      </c>
      <c r="O282" s="90">
        <f t="shared" ca="1" si="125"/>
        <v>37.14976277862322</v>
      </c>
      <c r="P282" s="90">
        <f t="shared" ca="1" si="126"/>
        <v>89.324149806284979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IFERROR(__xludf.DUMMYFUNCTION("IMPORTRANGE(""https://docs.google.com/spreadsheets/d/1MeEWN-I1oV_STSDYn1IFDPWt_1FKiwhDph83XaGc0o0/edit?usp=sharing"",""งบพรบ!DL69"")"),0)</f>
        <v>0</v>
      </c>
      <c r="M285" s="90">
        <f ca="1">IFERROR(__xludf.DUMMYFUNCTION("IMPORTRANGE(""https://docs.google.com/spreadsheets/d/1MeEWN-I1oV_STSDYn1IFDPWt_1FKiwhDph83XaGc0o0/edit?usp=sharing"",""งบพรบ!DO69"")"),0)</f>
        <v>0</v>
      </c>
      <c r="N285" s="90">
        <f ca="1">IFERROR(__xludf.DUMMYFUNCTION("IMPORTRANGE(""https://docs.google.com/spreadsheets/d/1MeEWN-I1oV_STSDYn1IFDPWt_1FKiwhDph83XaGc0o0/edit?usp=sharing"",""งบพรบ!DQ69"")"),0)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IFERROR(__xludf.DUMMYFUNCTION("IMPORTRANGE(""https://docs.google.com/spreadsheets/d/1QqKyyYR6Q21VydFLVH3TRQUabQu_ym0Zz7PgGX0-kHA/edit?usp=sharing"",""แผน!EC69"")"),300)</f>
        <v>300</v>
      </c>
      <c r="J287" s="210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IFERROR(__xludf.DUMMYFUNCTION("IMPORTRANGE(""https://docs.google.com/spreadsheets/d/1QqKyyYR6Q21VydFLVH3TRQUabQu_ym0Zz7PgGX0-kHA/edit?usp=sharing"",""แผน!EB69"")"),30)</f>
        <v>30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IFERROR(__xludf.DUMMYFUNCTION("IMPORTRANGE(""https://docs.google.com/spreadsheets/d/1QqKyyYR6Q21VydFLVH3TRQUabQu_ym0Zz7PgGX0-kHA/edit?usp=sharing"",""แผน!EB69"")"),30)</f>
        <v>30</v>
      </c>
      <c r="J290" s="210">
        <v>30</v>
      </c>
      <c r="K290" s="159">
        <f t="shared" ref="K290:K291" ca="1" si="131">IF(I290&gt;0,J290*100/I290,0)</f>
        <v>100</v>
      </c>
      <c r="L290" s="159"/>
      <c r="M290" s="159"/>
      <c r="N290" s="159"/>
      <c r="O290" s="159"/>
      <c r="P290" s="159"/>
    </row>
    <row r="291" spans="1:26" ht="19.5">
      <c r="A291" s="166"/>
      <c r="B291" s="167"/>
      <c r="C291" s="167"/>
      <c r="D291" s="174"/>
      <c r="E291" s="618" t="s">
        <v>133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IFERROR(__xludf.DUMMYFUNCTION("IMPORTRANGE(""https://docs.google.com/spreadsheets/d/1QqKyyYR6Q21VydFLVH3TRQUabQu_ym0Zz7PgGX0-kHA/edit?usp=sharing"",""แผน!EB69"")"),30)</f>
        <v>30</v>
      </c>
      <c r="J291" s="210">
        <v>30</v>
      </c>
      <c r="K291" s="159">
        <f t="shared" ca="1" si="131"/>
        <v>100</v>
      </c>
      <c r="L291" s="159"/>
      <c r="M291" s="159"/>
      <c r="N291" s="159"/>
      <c r="O291" s="159"/>
      <c r="P291" s="159"/>
    </row>
    <row r="292" spans="1:26" ht="19.5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IFERROR(__xludf.DUMMYFUNCTION("IMPORTRANGE(""https://docs.google.com/spreadsheets/d/1QqKyyYR6Q21VydFLVH3TRQUabQu_ym0Zz7PgGX0-kHA/edit?usp=sharing"",""แผน!EB69"")"),30)</f>
        <v>30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>
      <c r="A294" s="375"/>
      <c r="B294" s="376"/>
      <c r="C294" s="376"/>
      <c r="D294" s="378"/>
      <c r="E294" s="724" t="s">
        <v>136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IFERROR(__xludf.DUMMYFUNCTION("IMPORTRANGE(""https://docs.google.com/spreadsheets/d/1QqKyyYR6Q21VydFLVH3TRQUabQu_ym0Zz7PgGX0-kHA/edit?usp=sharing"",""แผน!EB69"")"),30)</f>
        <v>30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 hidden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 hidden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0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 hidden="1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0</v>
      </c>
      <c r="M298" s="151">
        <f t="shared" ca="1" si="134"/>
        <v>0</v>
      </c>
      <c r="N298" s="151">
        <f t="shared" ca="1" si="134"/>
        <v>0</v>
      </c>
      <c r="O298" s="151">
        <f t="shared" ref="O298:O306" ca="1" si="135">IF(L298&gt;0,N298*100/L298,0)</f>
        <v>0</v>
      </c>
      <c r="P298" s="151">
        <f t="shared" ref="P298:P306" ca="1" si="136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0</v>
      </c>
      <c r="M300" s="90">
        <f t="shared" ca="1" si="137"/>
        <v>0</v>
      </c>
      <c r="N300" s="90">
        <f t="shared" ca="1" si="137"/>
        <v>0</v>
      </c>
      <c r="O300" s="90">
        <f t="shared" ca="1" si="135"/>
        <v>0</v>
      </c>
      <c r="P300" s="90">
        <f t="shared" ca="1" si="136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0</v>
      </c>
      <c r="M301" s="495">
        <f t="shared" ca="1" si="138"/>
        <v>0</v>
      </c>
      <c r="N301" s="495">
        <f t="shared" ca="1" si="138"/>
        <v>0</v>
      </c>
      <c r="O301" s="495">
        <f t="shared" ca="1" si="135"/>
        <v>0</v>
      </c>
      <c r="P301" s="495">
        <f t="shared" ca="1" si="136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IFERROR(__xludf.DUMMYFUNCTION("IMPORTRANGE(""https://docs.google.com/spreadsheets/d/1MeEWN-I1oV_STSDYn1IFDPWt_1FKiwhDph83XaGc0o0/edit?usp=sharing"",""งบพรบ!DS69"")"),0)</f>
        <v>0</v>
      </c>
      <c r="M303" s="90">
        <f ca="1">IFERROR(__xludf.DUMMYFUNCTION("IMPORTRANGE(""https://docs.google.com/spreadsheets/d/1MeEWN-I1oV_STSDYn1IFDPWt_1FKiwhDph83XaGc0o0/edit?usp=sharing"",""งบพรบ!DX69"")"),0)</f>
        <v>0</v>
      </c>
      <c r="N303" s="90">
        <f ca="1">IFERROR(__xludf.DUMMYFUNCTION("IMPORTRANGE(""https://docs.google.com/spreadsheets/d/1MeEWN-I1oV_STSDYn1IFDPWt_1FKiwhDph83XaGc0o0/edit?usp=sharing"",""งบพรบ!DZ69"")"),0)</f>
        <v>0</v>
      </c>
      <c r="O303" s="90">
        <f t="shared" ca="1" si="135"/>
        <v>0</v>
      </c>
      <c r="P303" s="90">
        <f t="shared" ca="1" si="136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IFERROR(__xludf.DUMMYFUNCTION("IMPORTRANGE(""https://docs.google.com/spreadsheets/d/1MeEWN-I1oV_STSDYn1IFDPWt_1FKiwhDph83XaGc0o0/edit?usp=sharing"",""งบพรบ!DV69"")"),0)</f>
        <v>0</v>
      </c>
      <c r="M306" s="90">
        <f ca="1">IFERROR(__xludf.DUMMYFUNCTION("IMPORTRANGE(""https://docs.google.com/spreadsheets/d/1MeEWN-I1oV_STSDYn1IFDPWt_1FKiwhDph83XaGc0o0/edit?usp=sharing"",""งบพรบ!DY69"")"),0)</f>
        <v>0</v>
      </c>
      <c r="N306" s="90">
        <f ca="1">IFERROR(__xludf.DUMMYFUNCTION("IMPORTRANGE(""https://docs.google.com/spreadsheets/d/1MeEWN-I1oV_STSDYn1IFDPWt_1FKiwhDph83XaGc0o0/edit?usp=sharing"",""งบพรบ!EA69"")"),0)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 hidden="1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 hidden="1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IFERROR(__xludf.DUMMYFUNCTION("IMPORTRANGE(""https://docs.google.com/spreadsheets/d/1QqKyyYR6Q21VydFLVH3TRQUabQu_ym0Zz7PgGX0-kHA/edit?usp=sharing"",""แผน!ED69"")"),0)</f>
        <v>0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 hidden="1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IFERROR(__xludf.DUMMYFUNCTION("IMPORTRANGE(""https://docs.google.com/spreadsheets/d/1QqKyyYR6Q21VydFLVH3TRQUabQu_ym0Zz7PgGX0-kHA/edit?usp=sharing"",""แผน!ED69"")"),0)</f>
        <v>0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 hidden="1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IFERROR(__xludf.DUMMYFUNCTION("IMPORTRANGE(""https://docs.google.com/spreadsheets/d/1QqKyyYR6Q21VydFLVH3TRQUabQu_ym0Zz7PgGX0-kHA/edit?usp=sharing"",""แผน!ED69"")"),0)</f>
        <v>0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 hidden="1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IFERROR(__xludf.DUMMYFUNCTION("IMPORTRANGE(""https://docs.google.com/spreadsheets/d/1QqKyyYR6Q21VydFLVH3TRQUabQu_ym0Zz7PgGX0-kHA/edit?usp=sharing"",""แผน!EE69"")"),0)</f>
        <v>0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2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153000</v>
      </c>
      <c r="M315" s="151">
        <f t="shared" ca="1" si="142"/>
        <v>76500</v>
      </c>
      <c r="N315" s="151">
        <f t="shared" ca="1" si="142"/>
        <v>17705.59</v>
      </c>
      <c r="O315" s="151">
        <f t="shared" ref="O315:O323" ca="1" si="143">IF(L315&gt;0,N315*100/L315,0)</f>
        <v>11.572281045751634</v>
      </c>
      <c r="P315" s="151">
        <f t="shared" ref="P315:P323" ca="1" si="144">IF(M315&gt;0,N315*100/M315,0)</f>
        <v>23.144562091503268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153000</v>
      </c>
      <c r="M317" s="90">
        <f t="shared" ca="1" si="145"/>
        <v>76500</v>
      </c>
      <c r="N317" s="90">
        <f t="shared" ca="1" si="145"/>
        <v>17705.59</v>
      </c>
      <c r="O317" s="90">
        <f t="shared" ca="1" si="143"/>
        <v>11.572281045751634</v>
      </c>
      <c r="P317" s="90">
        <f t="shared" ca="1" si="144"/>
        <v>23.144562091503268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153000</v>
      </c>
      <c r="M318" s="495">
        <f t="shared" ca="1" si="146"/>
        <v>76500</v>
      </c>
      <c r="N318" s="495">
        <f t="shared" ca="1" si="146"/>
        <v>17705.59</v>
      </c>
      <c r="O318" s="495">
        <f t="shared" ca="1" si="143"/>
        <v>11.572281045751634</v>
      </c>
      <c r="P318" s="495">
        <f t="shared" ca="1" si="144"/>
        <v>23.144562091503268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IFERROR(__xludf.DUMMYFUNCTION("IMPORTRANGE(""https://docs.google.com/spreadsheets/d/1MeEWN-I1oV_STSDYn1IFDPWt_1FKiwhDph83XaGc0o0/edit?usp=sharing"",""งบพรบ!EC69"")"),153000)</f>
        <v>153000</v>
      </c>
      <c r="M320" s="90">
        <f ca="1">IFERROR(__xludf.DUMMYFUNCTION("IMPORTRANGE(""https://docs.google.com/spreadsheets/d/1MeEWN-I1oV_STSDYn1IFDPWt_1FKiwhDph83XaGc0o0/edit?usp=sharing"",""งบพรบ!EH69"")"),76500)</f>
        <v>76500</v>
      </c>
      <c r="N320" s="90">
        <f ca="1">IFERROR(__xludf.DUMMYFUNCTION("IMPORTRANGE(""https://docs.google.com/spreadsheets/d/1MeEWN-I1oV_STSDYn1IFDPWt_1FKiwhDph83XaGc0o0/edit?usp=sharing"",""งบพรบ!EJ69"")"),17705.59)</f>
        <v>17705.59</v>
      </c>
      <c r="O320" s="90">
        <f t="shared" ca="1" si="143"/>
        <v>11.572281045751634</v>
      </c>
      <c r="P320" s="90">
        <f t="shared" ca="1" si="144"/>
        <v>23.144562091503268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IFERROR(__xludf.DUMMYFUNCTION("IMPORTRANGE(""https://docs.google.com/spreadsheets/d/1MeEWN-I1oV_STSDYn1IFDPWt_1FKiwhDph83XaGc0o0/edit?usp=sharing"",""งบพรบ!EF69"")"),0)</f>
        <v>0</v>
      </c>
      <c r="M323" s="90">
        <f ca="1">IFERROR(__xludf.DUMMYFUNCTION("IMPORTRANGE(""https://docs.google.com/spreadsheets/d/1MeEWN-I1oV_STSDYn1IFDPWt_1FKiwhDph83XaGc0o0/edit?usp=sharing"",""งบพรบ!EI69"")"),0)</f>
        <v>0</v>
      </c>
      <c r="N323" s="90">
        <f ca="1">IFERROR(__xludf.DUMMYFUNCTION("IMPORTRANGE(""https://docs.google.com/spreadsheets/d/1MeEWN-I1oV_STSDYn1IFDPWt_1FKiwhDph83XaGc0o0/edit?usp=sharing"",""งบพรบ!EK69"")"),0)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IFERROR(__xludf.DUMMYFUNCTION("IMPORTRANGE(""https://docs.google.com/spreadsheets/d/1QqKyyYR6Q21VydFLVH3TRQUabQu_ym0Zz7PgGX0-kHA/edit?usp=sharing"",""แผน!EF69"")"),2)</f>
        <v>2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IFERROR(__xludf.DUMMYFUNCTION("IMPORTRANGE(""https://docs.google.com/spreadsheets/d/1QqKyyYR6Q21VydFLVH3TRQUabQu_ym0Zz7PgGX0-kHA/edit?usp=sharing"",""แผน!EG69"")"),5300)</f>
        <v>5300</v>
      </c>
      <c r="J327" s="442">
        <f ca="1">J338+J341+J342+J343</f>
        <v>1014</v>
      </c>
      <c r="K327" s="443">
        <f ca="1">IF(I327&gt;0,J327*100/I327,0)</f>
        <v>19.132075471698112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182000</v>
      </c>
      <c r="M328" s="151">
        <f t="shared" ca="1" si="148"/>
        <v>91000</v>
      </c>
      <c r="N328" s="151">
        <f t="shared" ca="1" si="148"/>
        <v>32262.26</v>
      </c>
      <c r="O328" s="151">
        <f t="shared" ref="O328:O336" ca="1" si="149">IF(L328&gt;0,N328*100/L328,0)</f>
        <v>17.726516483516484</v>
      </c>
      <c r="P328" s="151">
        <f t="shared" ref="P328:P336" ca="1" si="150">IF(M328&gt;0,N328*100/M328,0)</f>
        <v>35.453032967032968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182000</v>
      </c>
      <c r="M330" s="90">
        <f t="shared" ca="1" si="151"/>
        <v>91000</v>
      </c>
      <c r="N330" s="90">
        <f t="shared" ca="1" si="151"/>
        <v>32262.26</v>
      </c>
      <c r="O330" s="90">
        <f t="shared" ca="1" si="149"/>
        <v>17.726516483516484</v>
      </c>
      <c r="P330" s="90">
        <f t="shared" ca="1" si="150"/>
        <v>35.453032967032968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182000</v>
      </c>
      <c r="M331" s="495">
        <f t="shared" ca="1" si="152"/>
        <v>91000</v>
      </c>
      <c r="N331" s="495">
        <f t="shared" ca="1" si="152"/>
        <v>32262.26</v>
      </c>
      <c r="O331" s="495">
        <f t="shared" ca="1" si="149"/>
        <v>17.726516483516484</v>
      </c>
      <c r="P331" s="495">
        <f t="shared" ca="1" si="150"/>
        <v>35.453032967032968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IFERROR(__xludf.DUMMYFUNCTION("IMPORTRANGE(""https://docs.google.com/spreadsheets/d/1MeEWN-I1oV_STSDYn1IFDPWt_1FKiwhDph83XaGc0o0/edit?usp=sharing"",""งบพรบ!EM69"")"),182000)</f>
        <v>182000</v>
      </c>
      <c r="M333" s="90">
        <f ca="1">IFERROR(__xludf.DUMMYFUNCTION("IMPORTRANGE(""https://docs.google.com/spreadsheets/d/1MeEWN-I1oV_STSDYn1IFDPWt_1FKiwhDph83XaGc0o0/edit?usp=sharing"",""งบพรบ!ER69"")"),91000)</f>
        <v>91000</v>
      </c>
      <c r="N333" s="90">
        <f ca="1">IFERROR(__xludf.DUMMYFUNCTION("IMPORTRANGE(""https://docs.google.com/spreadsheets/d/1MeEWN-I1oV_STSDYn1IFDPWt_1FKiwhDph83XaGc0o0/edit?usp=sharing"",""งบพรบ!ET69"")"),32262.26)</f>
        <v>32262.26</v>
      </c>
      <c r="O333" s="90">
        <f t="shared" ca="1" si="149"/>
        <v>17.726516483516484</v>
      </c>
      <c r="P333" s="90">
        <f t="shared" ca="1" si="150"/>
        <v>35.453032967032968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IFERROR(__xludf.DUMMYFUNCTION("IMPORTRANGE(""https://docs.google.com/spreadsheets/d/1MeEWN-I1oV_STSDYn1IFDPWt_1FKiwhDph83XaGc0o0/edit?usp=sharing"",""งบพรบ!EP69"")"),0)</f>
        <v>0</v>
      </c>
      <c r="M336" s="90">
        <f ca="1">IFERROR(__xludf.DUMMYFUNCTION("IMPORTRANGE(""https://docs.google.com/spreadsheets/d/1MeEWN-I1oV_STSDYn1IFDPWt_1FKiwhDph83XaGc0o0/edit?usp=sharing"",""งบพรบ!ES69"")"),0)</f>
        <v>0</v>
      </c>
      <c r="N336" s="90">
        <f ca="1">IFERROR(__xludf.DUMMYFUNCTION("IMPORTRANGE(""https://docs.google.com/spreadsheets/d/1MeEWN-I1oV_STSDYn1IFDPWt_1FKiwhDph83XaGc0o0/edit?usp=sharing"",""งบพรบ!EU69"")"),0)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IFERROR(__xludf.DUMMYFUNCTION("IMPORTRANGE(""https://docs.google.com/spreadsheets/d/1QqKyyYR6Q21VydFLVH3TRQUabQu_ym0Zz7PgGX0-kHA/edit?usp=sharing"",""แผน!EG69"")"),5300)</f>
        <v>5300</v>
      </c>
      <c r="J338" s="264">
        <f ca="1">IFERROR(__xludf.DUMMYFUNCTION("IMPORTRANGE(""https://docs.google.com/spreadsheets/d/1kVcqe37tkHyjCSG3S0O1AXqVkqjo8mSIZil3BcpIysc/edit?usp=sharing"",""ศูนย์!D69"")"),982)</f>
        <v>982</v>
      </c>
      <c r="K338" s="495">
        <f ca="1">IF(I338&gt;0,J338*100/I338,0)</f>
        <v>18.528301886792452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IFERROR(__xludf.DUMMYFUNCTION("IMPORTRANGE(""https://docs.google.com/spreadsheets/d/1QqKyyYR6Q21VydFLVH3TRQUabQu_ym0Zz7PgGX0-kHA/edit?usp=sharing"",""แผน!EH69"")"),7)</f>
        <v>7</v>
      </c>
      <c r="J340" s="264">
        <f ca="1">IFERROR(__xludf.DUMMYFUNCTION("IMPORTRANGE(""https://docs.google.com/spreadsheets/d/1kVcqe37tkHyjCSG3S0O1AXqVkqjo8mSIZil3BcpIysc/edit?usp=sharing"",""ศูนย์!E69"")"),2)</f>
        <v>2</v>
      </c>
      <c r="K340" s="495">
        <f ca="1">IF(I340&gt;0,J340*100/I340,0)</f>
        <v>28.571428571428573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IFERROR(__xludf.DUMMYFUNCTION("IMPORTRANGE(""https://docs.google.com/spreadsheets/d/1kVcqe37tkHyjCSG3S0O1AXqVkqjo8mSIZil3BcpIysc/edit?usp=sharing"",""ศูนย์!F69"")"),32)</f>
        <v>32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IFERROR(__xludf.DUMMYFUNCTION("IMPORTRANGE(""https://docs.google.com/spreadsheets/d/1kVcqe37tkHyjCSG3S0O1AXqVkqjo8mSIZil3BcpIysc/edit?usp=sharing"",""ศูนย์!G69"")"),0)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IFERROR(__xludf.DUMMYFUNCTION("IMPORTRANGE(""https://docs.google.com/spreadsheets/d/1kVcqe37tkHyjCSG3S0O1AXqVkqjo8mSIZil3BcpIysc/edit?usp=sharing"",""ศูนย์!H69"")"),0)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1533320</v>
      </c>
      <c r="M345" s="151">
        <f t="shared" ca="1" si="154"/>
        <v>815560</v>
      </c>
      <c r="N345" s="151">
        <f t="shared" ca="1" si="154"/>
        <v>242683.66</v>
      </c>
      <c r="O345" s="151">
        <f t="shared" ref="O345:O353" ca="1" si="155">IF(L345&gt;0,N345*100/L345,0)</f>
        <v>15.827332846372578</v>
      </c>
      <c r="P345" s="151">
        <f t="shared" ref="P345:P353" ca="1" si="156">IF(M345&gt;0,N345*100/M345,0)</f>
        <v>29.756689881799009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1533320</v>
      </c>
      <c r="M347" s="90">
        <f t="shared" ca="1" si="157"/>
        <v>815560</v>
      </c>
      <c r="N347" s="90">
        <f t="shared" ca="1" si="157"/>
        <v>242683.66</v>
      </c>
      <c r="O347" s="90">
        <f t="shared" ca="1" si="155"/>
        <v>15.827332846372578</v>
      </c>
      <c r="P347" s="90">
        <f t="shared" ca="1" si="156"/>
        <v>29.756689881799009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1435520</v>
      </c>
      <c r="M348" s="495">
        <f t="shared" ca="1" si="158"/>
        <v>717760</v>
      </c>
      <c r="N348" s="495">
        <f t="shared" ca="1" si="158"/>
        <v>144883.66</v>
      </c>
      <c r="O348" s="495">
        <f t="shared" ca="1" si="155"/>
        <v>10.092764991083371</v>
      </c>
      <c r="P348" s="495">
        <f t="shared" ca="1" si="156"/>
        <v>20.185529982166742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IFERROR(__xludf.DUMMYFUNCTION("IMPORTRANGE(""https://docs.google.com/spreadsheets/d/1MeEWN-I1oV_STSDYn1IFDPWt_1FKiwhDph83XaGc0o0/edit?usp=sharing"",""งบพรบ!EW69"")"),1435520)</f>
        <v>1435520</v>
      </c>
      <c r="M350" s="90">
        <f ca="1">IFERROR(__xludf.DUMMYFUNCTION("IMPORTRANGE(""https://docs.google.com/spreadsheets/d/1MeEWN-I1oV_STSDYn1IFDPWt_1FKiwhDph83XaGc0o0/edit?usp=sharing"",""งบพรบ!FB69"")"),717760)</f>
        <v>717760</v>
      </c>
      <c r="N350" s="90">
        <f ca="1">IFERROR(__xludf.DUMMYFUNCTION("IMPORTRANGE(""https://docs.google.com/spreadsheets/d/1MeEWN-I1oV_STSDYn1IFDPWt_1FKiwhDph83XaGc0o0/edit?usp=sharing"",""งบพรบ!FD69"")"),144883.66)</f>
        <v>144883.66</v>
      </c>
      <c r="O350" s="90">
        <f t="shared" ca="1" si="155"/>
        <v>10.092764991083371</v>
      </c>
      <c r="P350" s="90">
        <f t="shared" ca="1" si="156"/>
        <v>20.185529982166742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97800</v>
      </c>
      <c r="M351" s="495">
        <f t="shared" ca="1" si="159"/>
        <v>97800</v>
      </c>
      <c r="N351" s="495">
        <f t="shared" ca="1" si="159"/>
        <v>97800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IFERROR(__xludf.DUMMYFUNCTION("IMPORTRANGE(""https://docs.google.com/spreadsheets/d/1MeEWN-I1oV_STSDYn1IFDPWt_1FKiwhDph83XaGc0o0/edit?usp=sharing"",""งบพรบ!EZ69"")"),97800)</f>
        <v>97800</v>
      </c>
      <c r="M353" s="90">
        <f ca="1">IFERROR(__xludf.DUMMYFUNCTION("IMPORTRANGE(""https://docs.google.com/spreadsheets/d/1MeEWN-I1oV_STSDYn1IFDPWt_1FKiwhDph83XaGc0o0/edit?usp=sharing"",""งบพรบ!FC69"")"),97800)</f>
        <v>97800</v>
      </c>
      <c r="N353" s="90">
        <f ca="1">IFERROR(__xludf.DUMMYFUNCTION("IMPORTRANGE(""https://docs.google.com/spreadsheets/d/1MeEWN-I1oV_STSDYn1IFDPWt_1FKiwhDph83XaGc0o0/edit?usp=sharing"",""งบพรบ!FE69"")"),97800)</f>
        <v>97800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IFERROR(__xludf.DUMMYFUNCTION("IMPORTRANGE(""https://docs.google.com/spreadsheets/d/1QqKyyYR6Q21VydFLVH3TRQUabQu_ym0Zz7PgGX0-kHA/edit?usp=sharing"",""แผน!EP69"")"),570)</f>
        <v>570</v>
      </c>
      <c r="J355" s="462">
        <f ca="1">J362</f>
        <v>1</v>
      </c>
      <c r="K355" s="463">
        <f ca="1">IF(I355&gt;0,J355*100/I355,0)</f>
        <v>0.17543859649122806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IFERROR(__xludf.DUMMYFUNCTION("IMPORTRANGE(""https://docs.google.com/spreadsheets/d/1XWAQStnk-4SwqDmLtmXYiTMKHgktTP8We1SCoS47DrQ/edit?usp=sharing"",""จัดที่ดิน!W69"")"),79)</f>
        <v>79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IFERROR(__xludf.DUMMYFUNCTION("IMPORTRANGE(""https://docs.google.com/spreadsheets/d/1QqKyyYR6Q21VydFLVH3TRQUabQu_ym0Zz7PgGX0-kHA/edit?usp=sharing"",""แผน!EO69"")"),8500)</f>
        <v>8500</v>
      </c>
      <c r="J359" s="264">
        <f ca="1">IFERROR(__xludf.DUMMYFUNCTION("IMPORTRANGE(""https://docs.google.com/spreadsheets/d/1XWAQStnk-4SwqDmLtmXYiTMKHgktTP8We1SCoS47DrQ/edit?usp=sharing"",""จัดที่ดิน!X69"")"),950.76)</f>
        <v>950.76</v>
      </c>
      <c r="K359" s="495">
        <f t="shared" ca="1" si="160"/>
        <v>11.185411764705883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IFERROR(__xludf.DUMMYFUNCTION("IMPORTRANGE(""https://docs.google.com/spreadsheets/d/1QqKyyYR6Q21VydFLVH3TRQUabQu_ym0Zz7PgGX0-kHA/edit?usp=sharing"",""แผน!EP69"")"),570)</f>
        <v>570</v>
      </c>
      <c r="J360" s="264">
        <f ca="1">IFERROR(__xludf.DUMMYFUNCTION("IMPORTRANGE(""https://docs.google.com/spreadsheets/d/1XWAQStnk-4SwqDmLtmXYiTMKHgktTP8We1SCoS47DrQ/edit?usp=sharing"",""จัดที่ดิน!Y69"")"),71)</f>
        <v>71</v>
      </c>
      <c r="K360" s="495">
        <f t="shared" ca="1" si="160"/>
        <v>12.456140350877194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IFERROR(__xludf.DUMMYFUNCTION("IMPORTRANGE(""https://docs.google.com/spreadsheets/d/1XWAQStnk-4SwqDmLtmXYiTMKHgktTP8We1SCoS47DrQ/edit?usp=sharing"",""จัดที่ดิน!Z69"")"),877.51)</f>
        <v>877.51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IFERROR(__xludf.DUMMYFUNCTION("IMPORTRANGE(""https://docs.google.com/spreadsheets/d/1QqKyyYR6Q21VydFLVH3TRQUabQu_ym0Zz7PgGX0-kHA/edit?usp=sharing"",""แผน!EP69"")"),570)</f>
        <v>570</v>
      </c>
      <c r="J362" s="264">
        <f ca="1">IFERROR(__xludf.DUMMYFUNCTION("IMPORTRANGE(""https://docs.google.com/spreadsheets/d/1XWAQStnk-4SwqDmLtmXYiTMKHgktTP8We1SCoS47DrQ/edit?usp=sharing"",""จัดที่ดิน!AA69"")"),1)</f>
        <v>1</v>
      </c>
      <c r="K362" s="495">
        <f t="shared" ca="1" si="160"/>
        <v>0.17543859649122806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IFERROR(__xludf.DUMMYFUNCTION("IMPORTRANGE(""https://docs.google.com/spreadsheets/d/1XWAQStnk-4SwqDmLtmXYiTMKHgktTP8We1SCoS47DrQ/edit?usp=sharing"",""จัดที่ดิน!AB69"")"),21)</f>
        <v>21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770</v>
      </c>
      <c r="J364" s="476">
        <f t="shared" ca="1" si="161"/>
        <v>3</v>
      </c>
      <c r="K364" s="477">
        <f t="shared" ca="1" si="160"/>
        <v>0.38961038961038963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IFERROR(__xludf.DUMMYFUNCTION("IMPORTRANGE(""https://docs.google.com/spreadsheets/d/1QqKyyYR6Q21VydFLVH3TRQUabQu_ym0Zz7PgGX0-kHA/edit?usp=sharing"",""แผน!EJ69"")"),200)</f>
        <v>200</v>
      </c>
      <c r="J365" s="488">
        <f ca="1">J372</f>
        <v>1</v>
      </c>
      <c r="K365" s="489">
        <f t="shared" ca="1" si="160"/>
        <v>0.5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IFERROR(__xludf.DUMMYFUNCTION("IMPORTRANGE(""https://docs.google.com/spreadsheets/d/1XWAQStnk-4SwqDmLtmXYiTMKHgktTP8We1SCoS47DrQ/edit?usp=sharing"",""จัดที่ดิน!E69"")"),21)</f>
        <v>21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IFERROR(__xludf.DUMMYFUNCTION("IMPORTRANGE(""https://docs.google.com/spreadsheets/d/1QqKyyYR6Q21VydFLVH3TRQUabQu_ym0Zz7PgGX0-kHA/edit?usp=sharing"",""แผน!EI69"")"),3000)</f>
        <v>3000</v>
      </c>
      <c r="J369" s="264">
        <f ca="1">IFERROR(__xludf.DUMMYFUNCTION("IMPORTRANGE(""https://docs.google.com/spreadsheets/d/1XWAQStnk-4SwqDmLtmXYiTMKHgktTP8We1SCoS47DrQ/edit?usp=sharing"",""จัดที่ดิน!F69"")"),289.61)</f>
        <v>289.61</v>
      </c>
      <c r="K369" s="495">
        <f t="shared" ca="1" si="162"/>
        <v>9.6536666666666662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IFERROR(__xludf.DUMMYFUNCTION("IMPORTRANGE(""https://docs.google.com/spreadsheets/d/1QqKyyYR6Q21VydFLVH3TRQUabQu_ym0Zz7PgGX0-kHA/edit?usp=sharing"",""แผน!EJ69"")"),200)</f>
        <v>200</v>
      </c>
      <c r="J370" s="264">
        <f ca="1">IFERROR(__xludf.DUMMYFUNCTION("IMPORTRANGE(""https://docs.google.com/spreadsheets/d/1XWAQStnk-4SwqDmLtmXYiTMKHgktTP8We1SCoS47DrQ/edit?usp=sharing"",""จัดที่ดิน!G69"")"),13)</f>
        <v>13</v>
      </c>
      <c r="K370" s="495">
        <f t="shared" ca="1" si="162"/>
        <v>6.5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IFERROR(__xludf.DUMMYFUNCTION("IMPORTRANGE(""https://docs.google.com/spreadsheets/d/1XWAQStnk-4SwqDmLtmXYiTMKHgktTP8We1SCoS47DrQ/edit?usp=sharing"",""จัดที่ดิน!H69"")"),216.36)</f>
        <v>216.36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IFERROR(__xludf.DUMMYFUNCTION("IMPORTRANGE(""https://docs.google.com/spreadsheets/d/1QqKyyYR6Q21VydFLVH3TRQUabQu_ym0Zz7PgGX0-kHA/edit?usp=sharing"",""แผน!EJ69"")"),200)</f>
        <v>200</v>
      </c>
      <c r="J372" s="264">
        <f ca="1">IFERROR(__xludf.DUMMYFUNCTION("IMPORTRANGE(""https://docs.google.com/spreadsheets/d/1XWAQStnk-4SwqDmLtmXYiTMKHgktTP8We1SCoS47DrQ/edit?usp=sharing"",""จัดที่ดิน!I69"")"),1)</f>
        <v>1</v>
      </c>
      <c r="K372" s="495">
        <f t="shared" ca="1" si="162"/>
        <v>0.5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IFERROR(__xludf.DUMMYFUNCTION("IMPORTRANGE(""https://docs.google.com/spreadsheets/d/1XWAQStnk-4SwqDmLtmXYiTMKHgktTP8We1SCoS47DrQ/edit?usp=sharing"",""จัดที่ดิน!J69"")"),21)</f>
        <v>21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IFERROR(__xludf.DUMMYFUNCTION("IMPORTRANGE(""https://docs.google.com/spreadsheets/d/1QqKyyYR6Q21VydFLVH3TRQUabQu_ym0Zz7PgGX0-kHA/edit?usp=sharing"",""แผน!EU69"")"),570)</f>
        <v>570</v>
      </c>
      <c r="J374" s="488">
        <f ca="1">J381</f>
        <v>2</v>
      </c>
      <c r="K374" s="489">
        <f t="shared" ca="1" si="162"/>
        <v>0.35087719298245612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IFERROR(__xludf.DUMMYFUNCTION("IMPORTRANGE(""https://docs.google.com/spreadsheets/d/1XWAQStnk-4SwqDmLtmXYiTMKHgktTP8We1SCoS47DrQ/edit?usp=sharing"",""จัดที่ดิน!AH69"")"),58)</f>
        <v>58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IFERROR(__xludf.DUMMYFUNCTION("IMPORTRANGE(""https://docs.google.com/spreadsheets/d/1QqKyyYR6Q21VydFLVH3TRQUabQu_ym0Zz7PgGX0-kHA/edit?usp=sharing"",""แผน!ET69"")"),5500)</f>
        <v>5500</v>
      </c>
      <c r="J378" s="264">
        <f ca="1">IFERROR(__xludf.DUMMYFUNCTION("IMPORTRANGE(""https://docs.google.com/spreadsheets/d/1XWAQStnk-4SwqDmLtmXYiTMKHgktTP8We1SCoS47DrQ/edit?usp=sharing"",""จัดที่ดิน!AI69"")"),661.15)</f>
        <v>661.15</v>
      </c>
      <c r="K378" s="495">
        <f t="shared" ca="1" si="163"/>
        <v>12.020909090909091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IFERROR(__xludf.DUMMYFUNCTION("IMPORTRANGE(""https://docs.google.com/spreadsheets/d/1QqKyyYR6Q21VydFLVH3TRQUabQu_ym0Zz7PgGX0-kHA/edit?usp=sharing"",""แผน!EU69"")"),570)</f>
        <v>570</v>
      </c>
      <c r="J379" s="264">
        <f ca="1">IFERROR(__xludf.DUMMYFUNCTION("IMPORTRANGE(""https://docs.google.com/spreadsheets/d/1XWAQStnk-4SwqDmLtmXYiTMKHgktTP8We1SCoS47DrQ/edit?usp=sharing"",""จัดที่ดิน!AJ69"")"),60)</f>
        <v>60</v>
      </c>
      <c r="K379" s="495">
        <f t="shared" ca="1" si="163"/>
        <v>10.526315789473685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IFERROR(__xludf.DUMMYFUNCTION("IMPORTRANGE(""https://docs.google.com/spreadsheets/d/1XWAQStnk-4SwqDmLtmXYiTMKHgktTP8We1SCoS47DrQ/edit?usp=sharing"",""จัดที่ดิน!AK69"")"),695.78)</f>
        <v>695.78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IFERROR(__xludf.DUMMYFUNCTION("IMPORTRANGE(""https://docs.google.com/spreadsheets/d/1QqKyyYR6Q21VydFLVH3TRQUabQu_ym0Zz7PgGX0-kHA/edit?usp=sharing"",""แผน!EU69"")"),570)</f>
        <v>570</v>
      </c>
      <c r="J381" s="264">
        <f ca="1">IFERROR(__xludf.DUMMYFUNCTION("IMPORTRANGE(""https://docs.google.com/spreadsheets/d/1XWAQStnk-4SwqDmLtmXYiTMKHgktTP8We1SCoS47DrQ/edit?usp=sharing"",""จัดที่ดิน!AL69"")"),2)</f>
        <v>2</v>
      </c>
      <c r="K381" s="495">
        <f t="shared" ca="1" si="163"/>
        <v>0.35087719298245612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IFERROR(__xludf.DUMMYFUNCTION("IMPORTRANGE(""https://docs.google.com/spreadsheets/d/1XWAQStnk-4SwqDmLtmXYiTMKHgktTP8We1SCoS47DrQ/edit?usp=sharing"",""จัดที่ดิน!AM69"")"),34.63)</f>
        <v>34.630000000000003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IFERROR(__xludf.DUMMYFUNCTION("IMPORTRANGE(""https://docs.google.com/spreadsheets/d/1QqKyyYR6Q21VydFLVH3TRQUabQu_ym0Zz7PgGX0-kHA/edit?usp=sharing"",""แผน!EW69"")"),20)</f>
        <v>20</v>
      </c>
      <c r="J385" s="498">
        <f ca="1">IFERROR(__xludf.DUMMYFUNCTION("IMPORTRANGE(""https://docs.google.com/spreadsheets/d/1XWAQStnk-4SwqDmLtmXYiTMKHgktTP8We1SCoS47DrQ/edit?usp=sharing"",""จัดที่ดิน!AP69"")"),0)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IFERROR(__xludf.DUMMYFUNCTION("IMPORTRANGE(""https://docs.google.com/spreadsheets/d/1MeEWN-I1oV_STSDYn1IFDPWt_1FKiwhDph83XaGc0o0/edit?usp=sharing"",""งบพรบ!FG69"")"),0)</f>
        <v>0</v>
      </c>
      <c r="M394" s="90">
        <f ca="1">IFERROR(__xludf.DUMMYFUNCTION("IMPORTRANGE(""https://docs.google.com/spreadsheets/d/1MeEWN-I1oV_STSDYn1IFDPWt_1FKiwhDph83XaGc0o0/edit?usp=sharing"",""งบพรบ!FL69"")"),0)</f>
        <v>0</v>
      </c>
      <c r="N394" s="90">
        <f ca="1">IFERROR(__xludf.DUMMYFUNCTION("IMPORTRANGE(""https://docs.google.com/spreadsheets/d/1MeEWN-I1oV_STSDYn1IFDPWt_1FKiwhDph83XaGc0o0/edit?usp=sharing"",""งบพรบ!FN69"")"),0)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IFERROR(__xludf.DUMMYFUNCTION("IMPORTRANGE(""https://docs.google.com/spreadsheets/d/1MeEWN-I1oV_STSDYn1IFDPWt_1FKiwhDph83XaGc0o0/edit?usp=sharing"",""งบพรบ!FJ69"")"),0)</f>
        <v>0</v>
      </c>
      <c r="M397" s="90">
        <f ca="1">IFERROR(__xludf.DUMMYFUNCTION("IMPORTRANGE(""https://docs.google.com/spreadsheets/d/1MeEWN-I1oV_STSDYn1IFDPWt_1FKiwhDph83XaGc0o0/edit?usp=sharing"",""งบพรบ!FM69"")"),0)</f>
        <v>0</v>
      </c>
      <c r="N397" s="90">
        <f ca="1">IFERROR(__xludf.DUMMYFUNCTION("IMPORTRANGE(""https://docs.google.com/spreadsheets/d/1MeEWN-I1oV_STSDYn1IFDPWt_1FKiwhDph83XaGc0o0/edit?usp=sharing"",""งบพรบ!FO69"")"),0)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IFERROR(__xludf.DUMMYFUNCTION("IMPORTRANGE(""https://docs.google.com/spreadsheets/d/1MeEWN-I1oV_STSDYn1IFDPWt_1FKiwhDph83XaGc0o0/edit?usp=sharing"",""งบพรบ!FQ69"")"),0)</f>
        <v>0</v>
      </c>
      <c r="M407" s="90">
        <f ca="1">IFERROR(__xludf.DUMMYFUNCTION("IMPORTRANGE(""https://docs.google.com/spreadsheets/d/1MeEWN-I1oV_STSDYn1IFDPWt_1FKiwhDph83XaGc0o0/edit?usp=sharing"",""งบพรบ!FV69"")"),0)</f>
        <v>0</v>
      </c>
      <c r="N407" s="90">
        <f ca="1">IFERROR(__xludf.DUMMYFUNCTION("IMPORTRANGE(""https://docs.google.com/spreadsheets/d/1MeEWN-I1oV_STSDYn1IFDPWt_1FKiwhDph83XaGc0o0/edit?usp=sharing"",""งบพรบ!FX69"")"),0)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IFERROR(__xludf.DUMMYFUNCTION("IMPORTRANGE(""https://docs.google.com/spreadsheets/d/1MeEWN-I1oV_STSDYn1IFDPWt_1FKiwhDph83XaGc0o0/edit?usp=sharing"",""งบพรบ!FT69"")"),0)</f>
        <v>0</v>
      </c>
      <c r="M410" s="90">
        <f ca="1">IFERROR(__xludf.DUMMYFUNCTION("IMPORTRANGE(""https://docs.google.com/spreadsheets/d/1MeEWN-I1oV_STSDYn1IFDPWt_1FKiwhDph83XaGc0o0/edit?usp=sharing"",""งบพรบ!FW69"")"),0)</f>
        <v>0</v>
      </c>
      <c r="N410" s="90">
        <f ca="1">IFERROR(__xludf.DUMMYFUNCTION("IMPORTRANGE(""https://docs.google.com/spreadsheets/d/1MeEWN-I1oV_STSDYn1IFDPWt_1FKiwhDph83XaGc0o0/edit?usp=sharing"",""งบพรบ!FY69"")"),0)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2229607</v>
      </c>
      <c r="M414" s="546">
        <f t="shared" si="180"/>
        <v>0</v>
      </c>
      <c r="N414" s="546">
        <f t="shared" si="180"/>
        <v>104280.48000000001</v>
      </c>
      <c r="O414" s="546">
        <f ca="1">IF(L414&gt;0,N414*100/L414,0)</f>
        <v>4.677078965037337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20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1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78660</v>
      </c>
      <c r="M419" s="151">
        <f t="shared" si="183"/>
        <v>0</v>
      </c>
      <c r="N419" s="151">
        <f t="shared" si="183"/>
        <v>6030</v>
      </c>
      <c r="O419" s="151">
        <f t="shared" ref="O419:O424" ca="1" si="184">IF(L419&gt;0,N419*100/L419,0)</f>
        <v>7.665903890160183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78660</v>
      </c>
      <c r="M421" s="90">
        <f t="shared" si="186"/>
        <v>0</v>
      </c>
      <c r="N421" s="90">
        <f t="shared" si="186"/>
        <v>6030</v>
      </c>
      <c r="O421" s="90">
        <f t="shared" ca="1" si="184"/>
        <v>7.665903890160183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78660</v>
      </c>
      <c r="M422" s="495">
        <f t="shared" si="187"/>
        <v>0</v>
      </c>
      <c r="N422" s="495">
        <f t="shared" si="187"/>
        <v>6030</v>
      </c>
      <c r="O422" s="495">
        <f t="shared" ca="1" si="184"/>
        <v>7.665903890160183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IFERROR(__xludf.DUMMYFUNCTION("IMPORTRANGE(""https://docs.google.com/spreadsheets/d/1QqKyyYR6Q21VydFLVH3TRQUabQu_ym0Zz7PgGX0-kHA/edit?usp=sharing"",""แผน!EY69"")"),78660)</f>
        <v>78660</v>
      </c>
      <c r="M424" s="90">
        <v>0</v>
      </c>
      <c r="N424" s="90">
        <f>N425+N426+N427+N428</f>
        <v>6030</v>
      </c>
      <c r="O424" s="90">
        <f t="shared" ca="1" si="184"/>
        <v>7.665903890160183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6030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IFERROR(__xludf.DUMMYFUNCTION("IMPORTRANGE(""https://docs.google.com/spreadsheets/d/1QqKyyYR6Q21VydFLVH3TRQUabQu_ym0Zz7PgGX0-kHA/edit?usp=sharing"",""แผน!FB69"")"),0)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20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1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IFERROR(__xludf.DUMMYFUNCTION("IMPORTRANGE(""https://docs.google.com/spreadsheets/d/1QqKyyYR6Q21VydFLVH3TRQUabQu_ym0Zz7PgGX0-kHA/edit?usp=sharing"",""แผน!FC69"")"),20)</f>
        <v>20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IFERROR(__xludf.DUMMYFUNCTION("IMPORTRANGE(""https://docs.google.com/spreadsheets/d/1QqKyyYR6Q21VydFLVH3TRQUabQu_ym0Zz7PgGX0-kHA/edit?usp=sharing"",""แผน!FD69"")"),0)</f>
        <v>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IFERROR(__xludf.DUMMYFUNCTION("IMPORTRANGE(""https://docs.google.com/spreadsheets/d/1QqKyyYR6Q21VydFLVH3TRQUabQu_ym0Zz7PgGX0-kHA/edit?usp=sharing"",""แผน!FE69"")"),0)</f>
        <v>0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IFERROR(__xludf.DUMMYFUNCTION("IMPORTRANGE(""https://docs.google.com/spreadsheets/d/1QqKyyYR6Q21VydFLVH3TRQUabQu_ym0Zz7PgGX0-kHA/edit?usp=sharing"",""แผน!FF69"")"),20)</f>
        <v>20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IFERROR(__xludf.DUMMYFUNCTION("IMPORTRANGE(""https://docs.google.com/spreadsheets/d/1QqKyyYR6Q21VydFLVH3TRQUabQu_ym0Zz7PgGX0-kHA/edit?usp=sharing"",""แผน!FG69"")"),1)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IFERROR(__xludf.DUMMYFUNCTION("IMPORTRANGE(""https://docs.google.com/spreadsheets/d/1QqKyyYR6Q21VydFLVH3TRQUabQu_ym0Zz7PgGX0-kHA/edit?usp=sharing"",""แผน!FH69"")"),0)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IFERROR(__xludf.DUMMYFUNCTION("IMPORTRANGE(""https://docs.google.com/spreadsheets/d/1QqKyyYR6Q21VydFLVH3TRQUabQu_ym0Zz7PgGX0-kHA/edit?usp=sharing"",""แผน!FJ69"")"),0)</f>
        <v>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IFERROR(__xludf.DUMMYFUNCTION("IMPORTRANGE(""https://docs.google.com/spreadsheets/d/1QqKyyYR6Q21VydFLVH3TRQUabQu_ym0Zz7PgGX0-kHA/edit?usp=sharing"",""แผน!FM69"")"),0)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IFERROR(__xludf.DUMMYFUNCTION("IMPORTRANGE(""https://docs.google.com/spreadsheets/d/1QqKyyYR6Q21VydFLVH3TRQUabQu_ym0Zz7PgGX0-kHA/edit?usp=sharing"",""แผน!FN69"")"),0)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IFERROR(__xludf.DUMMYFUNCTION("IMPORTRANGE(""https://docs.google.com/spreadsheets/d/1QqKyyYR6Q21VydFLVH3TRQUabQu_ym0Zz7PgGX0-kHA/edit?usp=sharing"",""แผน!FO69"")"),0)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IFERROR(__xludf.DUMMYFUNCTION("IMPORTRANGE(""https://docs.google.com/spreadsheets/d/1QqKyyYR6Q21VydFLVH3TRQUabQu_ym0Zz7PgGX0-kHA/edit?usp=sharing"",""แผน!FO69"")"),0)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IFERROR(__xludf.DUMMYFUNCTION("IMPORTRANGE(""https://docs.google.com/spreadsheets/d/1QqKyyYR6Q21VydFLVH3TRQUabQu_ym0Zz7PgGX0-kHA/edit?usp=sharing"",""แผน!FN69"")"),0)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IFERROR(__xludf.DUMMYFUNCTION("IMPORTRANGE(""https://docs.google.com/spreadsheets/d/1QqKyyYR6Q21VydFLVH3TRQUabQu_ym0Zz7PgGX0-kHA/edit?usp=sharing"",""แผน!FX69"")"),51)</f>
        <v>51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IFERROR(__xludf.DUMMYFUNCTION("IMPORTRANGE(""https://docs.google.com/spreadsheets/d/1QqKyyYR6Q21VydFLVH3TRQUabQu_ym0Zz7PgGX0-kHA/edit?usp=sharing"",""แผน!FW69"")"),500)</f>
        <v>500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403983</v>
      </c>
      <c r="M467" s="191">
        <f t="shared" si="205"/>
        <v>0</v>
      </c>
      <c r="N467" s="191">
        <f t="shared" si="205"/>
        <v>450</v>
      </c>
      <c r="O467" s="191">
        <f t="shared" ref="O467:O472" ca="1" si="206">IF(L467&gt;0,N467*100/L467,0)</f>
        <v>0.11139082585158286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403983</v>
      </c>
      <c r="M469" s="90">
        <f t="shared" si="208"/>
        <v>0</v>
      </c>
      <c r="N469" s="90">
        <f t="shared" si="208"/>
        <v>450</v>
      </c>
      <c r="O469" s="90">
        <f t="shared" ca="1" si="206"/>
        <v>0.11139082585158286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403983</v>
      </c>
      <c r="M470" s="495">
        <f t="shared" si="209"/>
        <v>0</v>
      </c>
      <c r="N470" s="495">
        <f t="shared" si="209"/>
        <v>450</v>
      </c>
      <c r="O470" s="495">
        <f t="shared" ca="1" si="206"/>
        <v>0.11139082585158286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IFERROR(__xludf.DUMMYFUNCTION("IMPORTRANGE(""https://docs.google.com/spreadsheets/d/1QqKyyYR6Q21VydFLVH3TRQUabQu_ym0Zz7PgGX0-kHA/edit?usp=sharing"",""แผน!FS69"")"),403983)</f>
        <v>403983</v>
      </c>
      <c r="M472" s="90">
        <v>0</v>
      </c>
      <c r="N472" s="90">
        <f>N473+N474+N475+N476</f>
        <v>450</v>
      </c>
      <c r="O472" s="90">
        <f t="shared" ca="1" si="206"/>
        <v>0.11139082585158286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450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IFERROR(__xludf.DUMMYFUNCTION("IMPORTRANGE(""https://docs.google.com/spreadsheets/d/1QqKyyYR6Q21VydFLVH3TRQUabQu_ym0Zz7PgGX0-kHA/edit?usp=sharing"",""แผน!FV69"")"),0)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IFERROR(__xludf.DUMMYFUNCTION("IMPORTRANGE(""https://docs.google.com/spreadsheets/d/1QqKyyYR6Q21VydFLVH3TRQUabQu_ym0Zz7PgGX0-kHA/edit?usp=sharing"",""แผน!FY69"")"),450)</f>
        <v>450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IFERROR(__xludf.DUMMYFUNCTION("IMPORTRANGE(""https://docs.google.com/spreadsheets/d/1QqKyyYR6Q21VydFLVH3TRQUabQu_ym0Zz7PgGX0-kHA/edit?usp=sharing"",""แผน!FZ69"")"),45)</f>
        <v>45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IFERROR(__xludf.DUMMYFUNCTION("IMPORTRANGE(""https://docs.google.com/spreadsheets/d/1QqKyyYR6Q21VydFLVH3TRQUabQu_ym0Zz7PgGX0-kHA/edit?usp=sharing"",""แผน!GA69"")"),50)</f>
        <v>50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IFERROR(__xludf.DUMMYFUNCTION("IMPORTRANGE(""https://docs.google.com/spreadsheets/d/1QqKyyYR6Q21VydFLVH3TRQUabQu_ym0Zz7PgGX0-kHA/edit?usp=sharing"",""แผน!GB69"")"),5)</f>
        <v>5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IFERROR(__xludf.DUMMYFUNCTION("IMPORTRANGE(""https://docs.google.com/spreadsheets/d/1QqKyyYR6Q21VydFLVH3TRQUabQu_ym0Zz7PgGX0-kHA/edit?usp=sharing"",""แผน!GC69"")"),1)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IFERROR(__xludf.DUMMYFUNCTION("IMPORTRANGE(""https://docs.google.com/spreadsheets/d/1QqKyyYR6Q21VydFLVH3TRQUabQu_ym0Zz7PgGX0-kHA/edit?usp=sharing"",""แผน!FY69"")"),450)</f>
        <v>450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IFERROR(__xludf.DUMMYFUNCTION("IMPORTRANGE(""https://docs.google.com/spreadsheets/d/1QqKyyYR6Q21VydFLVH3TRQUabQu_ym0Zz7PgGX0-kHA/edit?usp=sharing"",""แผน!GA69"")"),50)</f>
        <v>50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50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427460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427460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427460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IFERROR(__xludf.DUMMYFUNCTION("IMPORTRANGE(""https://docs.google.com/spreadsheets/d/1QqKyyYR6Q21VydFLVH3TRQUabQu_ym0Zz7PgGX0-kHA/edit?usp=sharing"",""แผน!GQ69"")"),427460)</f>
        <v>427460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IFERROR(__xludf.DUMMYFUNCTION("IMPORTRANGE(""https://docs.google.com/spreadsheets/d/1QqKyyYR6Q21VydFLVH3TRQUabQu_ym0Zz7PgGX0-kHA/edit?usp=sharing"",""แผน!GT69"")"),0)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IFERROR(__xludf.DUMMYFUNCTION("IMPORTRANGE(""https://docs.google.com/spreadsheets/d/1QqKyyYR6Q21VydFLVH3TRQUabQu_ym0Zz7PgGX0-kHA/edit?usp=sharing"",""แผน!GU69"")"),50)</f>
        <v>50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IFERROR(__xludf.DUMMYFUNCTION("IMPORTRANGE(""https://docs.google.com/spreadsheets/d/1QqKyyYR6Q21VydFLVH3TRQUabQu_ym0Zz7PgGX0-kHA/edit?usp=sharing"",""แผน!GV69"")"),50)</f>
        <v>50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IFERROR(__xludf.DUMMYFUNCTION("IMPORTRANGE(""https://docs.google.com/spreadsheets/d/1QqKyyYR6Q21VydFLVH3TRQUabQu_ym0Zz7PgGX0-kHA/edit?usp=sharing"",""แผน!GW69"")"),0)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IFERROR(__xludf.DUMMYFUNCTION("IMPORTRANGE(""https://docs.google.com/spreadsheets/d/1QqKyyYR6Q21VydFLVH3TRQUabQu_ym0Zz7PgGX0-kHA/edit?usp=sharing"",""แผน!GX69"")"),0)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IFERROR(__xludf.DUMMYFUNCTION("IMPORTRANGE(""https://docs.google.com/spreadsheets/d/1QqKyyYR6Q21VydFLVH3TRQUabQu_ym0Zz7PgGX0-kHA/edit?usp=sharing"",""แผน!GY69"")"),50)</f>
        <v>50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IFERROR(__xludf.DUMMYFUNCTION("IMPORTRANGE(""https://docs.google.com/spreadsheets/d/1QqKyyYR6Q21VydFLVH3TRQUabQu_ym0Zz7PgGX0-kHA/edit?usp=sharing"",""แผน!GZ69"")"),50)</f>
        <v>50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132197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606964</v>
      </c>
      <c r="M544" s="151">
        <f t="shared" si="235"/>
        <v>0</v>
      </c>
      <c r="N544" s="151">
        <f t="shared" si="235"/>
        <v>69667.150000000009</v>
      </c>
      <c r="O544" s="151">
        <f t="shared" ref="O544:O549" ca="1" si="236">IF(L544&gt;0,N544*100/L544,0)</f>
        <v>11.477970686894118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606964</v>
      </c>
      <c r="M546" s="90">
        <f t="shared" si="239"/>
        <v>0</v>
      </c>
      <c r="N546" s="90">
        <f t="shared" si="239"/>
        <v>69667.150000000009</v>
      </c>
      <c r="O546" s="90">
        <f t="shared" ca="1" si="236"/>
        <v>11.477970686894118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606964</v>
      </c>
      <c r="M547" s="495">
        <f t="shared" si="240"/>
        <v>0</v>
      </c>
      <c r="N547" s="495">
        <f t="shared" si="240"/>
        <v>69667.150000000009</v>
      </c>
      <c r="O547" s="495">
        <f t="shared" ca="1" si="236"/>
        <v>11.477970686894118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IFERROR(__xludf.DUMMYFUNCTION("IMPORTRANGE(""https://docs.google.com/spreadsheets/d/1QqKyyYR6Q21VydFLVH3TRQUabQu_ym0Zz7PgGX0-kHA/edit?usp=sharing"",""แผน!HB69"")"),606964)</f>
        <v>606964</v>
      </c>
      <c r="M549" s="90">
        <v>0</v>
      </c>
      <c r="N549" s="90">
        <f>N550+N551+N552+N553+N554</f>
        <v>69667.150000000009</v>
      </c>
      <c r="O549" s="90">
        <f t="shared" ca="1" si="236"/>
        <v>11.477970686894118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12566.67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57100.480000000003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IFERROR(__xludf.DUMMYFUNCTION("IMPORTRANGE(""https://docs.google.com/spreadsheets/d/1QqKyyYR6Q21VydFLVH3TRQUabQu_ym0Zz7PgGX0-kHA/edit?usp=sharing"",""แผน!HF69"")"),0)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132197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IFERROR(__xludf.DUMMYFUNCTION("IMPORTRANGE(""https://docs.google.com/spreadsheets/d/1QqKyyYR6Q21VydFLVH3TRQUabQu_ym0Zz7PgGX0-kHA/edit?usp=sharing"",""แผน!HH69"")"),132197)</f>
        <v>132197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IFERROR(__xludf.DUMMYFUNCTION("IMPORTRANGE(""https://docs.google.com/spreadsheets/d/1QqKyyYR6Q21VydFLVH3TRQUabQu_ym0Zz7PgGX0-kHA/edit?usp=sharing"",""แผน!HG69"")"),11643)</f>
        <v>11643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IFERROR(__xludf.DUMMYFUNCTION("IMPORTRANGE(""https://docs.google.com/spreadsheets/d/1QqKyyYR6Q21VydFLVH3TRQUabQu_ym0Zz7PgGX0-kHA/edit?usp=sharing"",""แผน!HH69"")"),132197)</f>
        <v>132197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IFERROR(__xludf.DUMMYFUNCTION("IMPORTRANGE(""https://docs.google.com/spreadsheets/d/1QqKyyYR6Q21VydFLVH3TRQUabQu_ym0Zz7PgGX0-kHA/edit?usp=sharing"",""แผน!HG69"")"),11643)</f>
        <v>11643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IFERROR(__xludf.DUMMYFUNCTION("IMPORTRANGE(""https://docs.google.com/spreadsheets/d/1QqKyyYR6Q21VydFLVH3TRQUabQu_ym0Zz7PgGX0-kHA/edit?usp=sharing"",""แผน!HH69"")"),132197)</f>
        <v>132197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IFERROR(__xludf.DUMMYFUNCTION("IMPORTRANGE(""https://docs.google.com/spreadsheets/d/1QqKyyYR6Q21VydFLVH3TRQUabQu_ym0Zz7PgGX0-kHA/edit?usp=sharing"",""แผน!HG69"")"),11643)</f>
        <v>11643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6932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IFERROR(__xludf.DUMMYFUNCTION("IMPORTRANGE(""https://docs.google.com/spreadsheets/d/1QqKyyYR6Q21VydFLVH3TRQUabQu_ym0Zz7PgGX0-kHA/edit?usp=sharing"",""แผน!HJ69"")"),6932)</f>
        <v>6932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IFERROR(__xludf.DUMMYFUNCTION("IMPORTRANGE(""https://docs.google.com/spreadsheets/d/1QqKyyYR6Q21VydFLVH3TRQUabQu_ym0Zz7PgGX0-kHA/edit?usp=sharing"",""แผน!HI69"")"),387)</f>
        <v>387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IFERROR(__xludf.DUMMYFUNCTION("IMPORTRANGE(""https://docs.google.com/spreadsheets/d/1QqKyyYR6Q21VydFLVH3TRQUabQu_ym0Zz7PgGX0-kHA/edit?usp=sharing"",""แผน!HL69"")"),0)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IFERROR(__xludf.DUMMYFUNCTION("IMPORTRANGE(""https://docs.google.com/spreadsheets/d/1QqKyyYR6Q21VydFLVH3TRQUabQu_ym0Zz7PgGX0-kHA/edit?usp=sharing"",""แผน!HK69"")"),0)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100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364940</v>
      </c>
      <c r="M629" s="191">
        <f t="shared" si="262"/>
        <v>0</v>
      </c>
      <c r="N629" s="191">
        <f t="shared" si="262"/>
        <v>12133.33</v>
      </c>
      <c r="O629" s="191">
        <f t="shared" ref="O629:O634" ca="1" si="263">IF(L629&gt;0,N629*100/L629,0)</f>
        <v>3.3247465336767688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364940</v>
      </c>
      <c r="M631" s="90">
        <f t="shared" si="265"/>
        <v>0</v>
      </c>
      <c r="N631" s="90">
        <f t="shared" si="265"/>
        <v>12133.33</v>
      </c>
      <c r="O631" s="90">
        <f t="shared" ca="1" si="263"/>
        <v>3.3247465336767688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364940</v>
      </c>
      <c r="M632" s="495">
        <f t="shared" si="266"/>
        <v>0</v>
      </c>
      <c r="N632" s="495">
        <f t="shared" si="266"/>
        <v>12133.33</v>
      </c>
      <c r="O632" s="495">
        <f t="shared" ca="1" si="263"/>
        <v>3.3247465336767688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IFERROR(__xludf.DUMMYFUNCTION("IMPORTRANGE(""https://docs.google.com/spreadsheets/d/1QqKyyYR6Q21VydFLVH3TRQUabQu_ym0Zz7PgGX0-kHA/edit?usp=sharing"",""แผน!HN69"")"),364940)</f>
        <v>364940</v>
      </c>
      <c r="M634" s="90">
        <v>0</v>
      </c>
      <c r="N634" s="90">
        <f>N635+N636+N637+N638</f>
        <v>12133.33</v>
      </c>
      <c r="O634" s="90">
        <f t="shared" ca="1" si="263"/>
        <v>3.3247465336767688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12133.33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IFERROR(__xludf.DUMMYFUNCTION("IMPORTRANGE(""https://docs.google.com/spreadsheets/d/1QqKyyYR6Q21VydFLVH3TRQUabQu_ym0Zz7PgGX0-kHA/edit?usp=sharing"",""แผน!HQ69"")"),0)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IFERROR(__xludf.DUMMYFUNCTION("IMPORTRANGE(""https://docs.google.com/spreadsheets/d/1QqKyyYR6Q21VydFLVH3TRQUabQu_ym0Zz7PgGX0-kHA/edit?usp=sharing"",""แผน!HR69"")"),0)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IFERROR(__xludf.DUMMYFUNCTION("IMPORTRANGE(""https://docs.google.com/spreadsheets/d/1QqKyyYR6Q21VydFLVH3TRQUabQu_ym0Zz7PgGX0-kHA/edit?usp=sharing"",""แผน!HR69"")"),0)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IFERROR(__xludf.DUMMYFUNCTION("IMPORTRANGE(""https://docs.google.com/spreadsheets/d/1XWAQStnk-4SwqDmLtmXYiTMKHgktTP8We1SCoS47DrQ/edit?usp=sharing"",""จัดที่ดิน!AS69"")"),0)</f>
        <v>0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IFERROR(__xludf.DUMMYFUNCTION("IMPORTRANGE(""https://docs.google.com/spreadsheets/d/1XWAQStnk-4SwqDmLtmXYiTMKHgktTP8We1SCoS47DrQ/edit?usp=sharing"",""จัดที่ดิน!AT69"")"),0)</f>
        <v>0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IFERROR(__xludf.DUMMYFUNCTION("IMPORTRANGE(""https://docs.google.com/spreadsheets/d/1QqKyyYR6Q21VydFLVH3TRQUabQu_ym0Zz7PgGX0-kHA/edit?usp=sharing"",""แผน!HS69"")"),100)</f>
        <v>100</v>
      </c>
      <c r="J647" s="264">
        <f ca="1">IFERROR(__xludf.DUMMYFUNCTION("IMPORTRANGE(""https://docs.google.com/spreadsheets/d/1XWAQStnk-4SwqDmLtmXYiTMKHgktTP8We1SCoS47DrQ/edit?usp=sharing"",""จัดที่ดิน!AU69"")"),0)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IFERROR(__xludf.DUMMYFUNCTION("IMPORTRANGE(""https://docs.google.com/spreadsheets/d/1XWAQStnk-4SwqDmLtmXYiTMKHgktTP8We1SCoS47DrQ/edit?usp=sharing"",""จัดที่ดิน!AV69"")"),0)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IFERROR(__xludf.DUMMYFUNCTION("IMPORTRANGE(""https://docs.google.com/spreadsheets/d/1QqKyyYR6Q21VydFLVH3TRQUabQu_ym0Zz7PgGX0-kHA/edit?usp=sharing"",""แผน!HS69"")"),100)</f>
        <v>100</v>
      </c>
      <c r="J649" s="264">
        <f ca="1">IFERROR(__xludf.DUMMYFUNCTION("IMPORTRANGE(""https://docs.google.com/spreadsheets/d/1XWAQStnk-4SwqDmLtmXYiTMKHgktTP8We1SCoS47DrQ/edit?usp=sharing"",""จัดที่ดิน!AW69"")"),0)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IFERROR(__xludf.DUMMYFUNCTION("IMPORTRANGE(""https://docs.google.com/spreadsheets/d/1XWAQStnk-4SwqDmLtmXYiTMKHgktTP8We1SCoS47DrQ/edit?usp=sharing"",""จัดที่ดิน!AX69"")"),0)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IFERROR(__xludf.DUMMYFUNCTION("IMPORTRANGE(""https://docs.google.com/spreadsheets/d/1QqKyyYR6Q21VydFLVH3TRQUabQu_ym0Zz7PgGX0-kHA/edit?usp=sharing"",""แผน!HS69"")"),100)</f>
        <v>100</v>
      </c>
      <c r="J651" s="264">
        <f ca="1">IFERROR(__xludf.DUMMYFUNCTION("IMPORTRANGE(""https://docs.google.com/spreadsheets/d/1XWAQStnk-4SwqDmLtmXYiTMKHgktTP8We1SCoS47DrQ/edit?usp=sharing"",""จัดที่ดิน!AY69"")"),0)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IFERROR(__xludf.DUMMYFUNCTION("IMPORTRANGE(""https://docs.google.com/spreadsheets/d/1XWAQStnk-4SwqDmLtmXYiTMKHgktTP8We1SCoS47DrQ/edit?usp=sharing"",""จัดที่ดิน!AZ69"")"),0)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100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12400</v>
      </c>
      <c r="M655" s="191">
        <f t="shared" si="272"/>
        <v>0</v>
      </c>
      <c r="N655" s="191">
        <f t="shared" si="272"/>
        <v>3000</v>
      </c>
      <c r="O655" s="191">
        <f t="shared" ref="O655:O660" ca="1" si="273">IF(L655&gt;0,N655*100/L655,0)</f>
        <v>24.193548387096776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12400</v>
      </c>
      <c r="M657" s="90">
        <f t="shared" si="275"/>
        <v>0</v>
      </c>
      <c r="N657" s="90">
        <f t="shared" si="275"/>
        <v>3000</v>
      </c>
      <c r="O657" s="90">
        <f t="shared" ca="1" si="273"/>
        <v>24.193548387096776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12400</v>
      </c>
      <c r="M658" s="495">
        <f t="shared" si="276"/>
        <v>0</v>
      </c>
      <c r="N658" s="495">
        <f t="shared" si="276"/>
        <v>3000</v>
      </c>
      <c r="O658" s="495">
        <f t="shared" ca="1" si="273"/>
        <v>24.193548387096776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IFERROR(__xludf.DUMMYFUNCTION("IMPORTRANGE(""https://docs.google.com/spreadsheets/d/1QqKyyYR6Q21VydFLVH3TRQUabQu_ym0Zz7PgGX0-kHA/edit?usp=sharing"",""แผน!HV69"")"),12400)</f>
        <v>12400</v>
      </c>
      <c r="M660" s="90">
        <v>0</v>
      </c>
      <c r="N660" s="90">
        <f>N661+N662+N663+N664</f>
        <v>3000</v>
      </c>
      <c r="O660" s="90">
        <f t="shared" ca="1" si="273"/>
        <v>24.193548387096776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3000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IFERROR(__xludf.DUMMYFUNCTION("IMPORTRANGE(""https://docs.google.com/spreadsheets/d/1QqKyyYR6Q21VydFLVH3TRQUabQu_ym0Zz7PgGX0-kHA/edit?usp=sharing"",""แผน!IA69"")"),100)</f>
        <v>100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IFERROR(__xludf.DUMMYFUNCTION("IMPORTRANGE(""https://docs.google.com/spreadsheets/d/1QqKyyYR6Q21VydFLVH3TRQUabQu_ym0Zz7PgGX0-kHA/edit?usp=sharing"",""แผน!HZ69"")"),4)</f>
        <v>4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IFERROR(__xludf.DUMMYFUNCTION("IMPORTRANGE(""https://docs.google.com/spreadsheets/d/1QqKyyYR6Q21VydFLVH3TRQUabQu_ym0Zz7PgGX0-kHA/edit?usp=sharing"",""แผน!HZ69"")"),4)</f>
        <v>4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IFERROR(__xludf.DUMMYFUNCTION("IMPORTRANGE(""https://docs.google.com/spreadsheets/d/1QqKyyYR6Q21VydFLVH3TRQUabQu_ym0Zz7PgGX0-kHA/edit?usp=sharing"",""แผน!IB69"")"),0)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 hidden="1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 hidden="1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 hidden="1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IFERROR(__xludf.DUMMYFUNCTION("IMPORTRANGE(""https://docs.google.com/spreadsheets/d/1QqKyyYR6Q21VydFLVH3TRQUabQu_ym0Zz7PgGX0-kHA/edit?usp=sharing"",""แผน!HW69"")"),0)</f>
        <v>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 hidden="1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 hidden="1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 hidden="1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 hidden="1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 hidden="1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 hidden="1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 hidden="1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IFERROR(__xludf.DUMMYFUNCTION("IMPORTRANGE(""https://docs.google.com/spreadsheets/d/1QqKyyYR6Q21VydFLVH3TRQUabQu_ym0Zz7PgGX0-kHA/edit?usp=sharing"",""แผน!IC69"")"),0)</f>
        <v>0</v>
      </c>
      <c r="J699" s="264">
        <f ca="1">IFERROR(__xludf.DUMMYFUNCTION("IMPORTRANGE(""https://docs.google.com/spreadsheets/d/1XWAQStnk-4SwqDmLtmXYiTMKHgktTP8We1SCoS47DrQ/edit?usp=sharing"",""จัดที่ดิน!BB69"")"),0)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 hidden="1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IFERROR(__xludf.DUMMYFUNCTION("IMPORTRANGE(""https://docs.google.com/spreadsheets/d/1QqKyyYR6Q21VydFLVH3TRQUabQu_ym0Zz7PgGX0-kHA/edit?usp=sharing"",""แผน!ID69"")"),0)</f>
        <v>0</v>
      </c>
      <c r="J700" s="264">
        <f ca="1">IFERROR(__xludf.DUMMYFUNCTION("IMPORTRANGE(""https://docs.google.com/spreadsheets/d/1XWAQStnk-4SwqDmLtmXYiTMKHgktTP8We1SCoS47DrQ/edit?usp=sharing"",""จัดที่ดิน!BD69"")"),0)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 hidden="1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IFERROR(__xludf.DUMMYFUNCTION("IMPORTRANGE(""https://docs.google.com/spreadsheets/d/1QqKyyYR6Q21VydFLVH3TRQUabQu_ym0Zz7PgGX0-kHA/edit?usp=sharing"",""แผน!IE69"")"),0)</f>
        <v>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 hidden="1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 hidden="1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 hidden="1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IFERROR(__xludf.DUMMYFUNCTION("IMPORTRANGE(""https://docs.google.com/spreadsheets/d/1QqKyyYR6Q21VydFLVH3TRQUabQu_ym0Zz7PgGX0-kHA/edit?usp=sharing"",""แผน!IF69"")"),0)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 hidden="1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 hidden="1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 hidden="1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IFERROR(__xludf.DUMMYFUNCTION("IMPORTRANGE(""https://docs.google.com/spreadsheets/d/1QqKyyYR6Q21VydFLVH3TRQUabQu_ym0Zz7PgGX0-kHA/edit?usp=sharing"",""แผน!IG69"")"),0)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 hidden="1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IFERROR(__xludf.DUMMYFUNCTION("IMPORTRANGE(""https://docs.google.com/spreadsheets/d/1QqKyyYR6Q21VydFLVH3TRQUabQu_ym0Zz7PgGX0-kHA/edit?usp=sharing"",""แผน!IH69"")"),0)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 hidden="1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 hidden="1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 hidden="1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 hidden="1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 hidden="1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 hidden="1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 hidden="1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 hidden="1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 hidden="1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 hidden="1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IFERROR(__xludf.DUMMYFUNCTION("IMPORTRANGE(""https://docs.google.com/spreadsheets/d/1XWAQStnk-4SwqDmLtmXYiTMKHgktTP8We1SCoS47DrQ/edit?usp=sharing"",""จัดที่ดิน!BF69"")"),0)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 hidden="1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IFERROR(__xludf.DUMMYFUNCTION("IMPORTRANGE(""https://docs.google.com/spreadsheets/d/1XWAQStnk-4SwqDmLtmXYiTMKHgktTP8We1SCoS47DrQ/edit?usp=sharing"",""จัดที่ดิน!BG69"")"),0)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 hidden="1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IFERROR(__xludf.DUMMYFUNCTION("IMPORTRANGE(""https://docs.google.com/spreadsheets/d/1QqKyyYR6Q21VydFLVH3TRQUabQu_ym0Zz7PgGX0-kHA/edit?usp=sharing"",""แผน!II69"")"),0)</f>
        <v>0</v>
      </c>
      <c r="J720" s="264">
        <f ca="1">IFERROR(__xludf.DUMMYFUNCTION("IMPORTRANGE(""https://docs.google.com/spreadsheets/d/1XWAQStnk-4SwqDmLtmXYiTMKHgktTP8We1SCoS47DrQ/edit?usp=sharing"",""จัดที่ดิน!BH69"")"),0)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 hidden="1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IFERROR(__xludf.DUMMYFUNCTION("IMPORTRANGE(""https://docs.google.com/spreadsheets/d/1QqKyyYR6Q21VydFLVH3TRQUabQu_ym0Zz7PgGX0-kHA/edit?usp=sharing"",""แผน!IJ69"")"),0)</f>
        <v>0</v>
      </c>
      <c r="J721" s="673">
        <f ca="1">J723+J726</f>
        <v>0</v>
      </c>
      <c r="K721" s="191">
        <f t="shared" ca="1" si="290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 hidden="1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IFERROR(__xludf.DUMMYFUNCTION("IMPORTRANGE(""https://docs.google.com/spreadsheets/d/1QqKyyYR6Q21VydFLVH3TRQUabQu_ym0Zz7PgGX0-kHA/edit?usp=sharing"",""แผน!IK69"")"),0)</f>
        <v>0</v>
      </c>
      <c r="J722" s="673">
        <f ca="1">J725+J728</f>
        <v>0</v>
      </c>
      <c r="K722" s="191">
        <f t="shared" ca="1" si="290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 hidden="1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IFERROR(__xludf.DUMMYFUNCTION("IMPORTRANGE(""https://docs.google.com/spreadsheets/d/1QqKyyYR6Q21VydFLVH3TRQUabQu_ym0Zz7PgGX0-kHA/edit?usp=sharing"",""แผน!IL69"")"),0)</f>
        <v>0</v>
      </c>
      <c r="J723" s="264">
        <f ca="1">IFERROR(__xludf.DUMMYFUNCTION("IMPORTRANGE(""https://docs.google.com/spreadsheets/d/1XWAQStnk-4SwqDmLtmXYiTMKHgktTP8We1SCoS47DrQ/edit?usp=sharing"",""จัดที่ดิน!BM69"")"),0)</f>
        <v>0</v>
      </c>
      <c r="K723" s="495">
        <f t="shared" ca="1" si="290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 hidden="1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IFERROR(__xludf.DUMMYFUNCTION("IMPORTRANGE(""https://docs.google.com/spreadsheets/d/1XWAQStnk-4SwqDmLtmXYiTMKHgktTP8We1SCoS47DrQ/edit?usp=sharing"",""จัดที่ดิน!BN69"")"),0)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 hidden="1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IFERROR(__xludf.DUMMYFUNCTION("IMPORTRANGE(""https://docs.google.com/spreadsheets/d/1QqKyyYR6Q21VydFLVH3TRQUabQu_ym0Zz7PgGX0-kHA/edit?usp=sharing"",""แผน!IM69"")"),0)</f>
        <v>0</v>
      </c>
      <c r="J725" s="264">
        <f ca="1">IFERROR(__xludf.DUMMYFUNCTION("IMPORTRANGE(""https://docs.google.com/spreadsheets/d/1XWAQStnk-4SwqDmLtmXYiTMKHgktTP8We1SCoS47DrQ/edit?usp=sharing"",""จัดที่ดิน!BO69"")"),0)</f>
        <v>0</v>
      </c>
      <c r="K725" s="495">
        <f t="shared" ref="K725:K726" ca="1" si="291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 hidden="1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IFERROR(__xludf.DUMMYFUNCTION("IMPORTRANGE(""https://docs.google.com/spreadsheets/d/1QqKyyYR6Q21VydFLVH3TRQUabQu_ym0Zz7PgGX0-kHA/edit?usp=sharing"",""แผน!IN69"")"),0)</f>
        <v>0</v>
      </c>
      <c r="J726" s="264">
        <f ca="1">IFERROR(__xludf.DUMMYFUNCTION("IMPORTRANGE(""https://docs.google.com/spreadsheets/d/1XWAQStnk-4SwqDmLtmXYiTMKHgktTP8We1SCoS47DrQ/edit?usp=sharing"",""จัดที่ดิน!BR69"")"),0)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 hidden="1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IFERROR(__xludf.DUMMYFUNCTION("IMPORTRANGE(""https://docs.google.com/spreadsheets/d/1XWAQStnk-4SwqDmLtmXYiTMKHgktTP8We1SCoS47DrQ/edit?usp=sharing"",""จัดที่ดิน!BS69"")"),0)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 hidden="1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IFERROR(__xludf.DUMMYFUNCTION("IMPORTRANGE(""https://docs.google.com/spreadsheets/d/1QqKyyYR6Q21VydFLVH3TRQUabQu_ym0Zz7PgGX0-kHA/edit?usp=sharing"",""แผน!IO69"")"),0)</f>
        <v>0</v>
      </c>
      <c r="J728" s="264">
        <f ca="1">IFERROR(__xludf.DUMMYFUNCTION("IMPORTRANGE(""https://docs.google.com/spreadsheets/d/1XWAQStnk-4SwqDmLtmXYiTMKHgktTP8We1SCoS47DrQ/edit?usp=sharing"",""จัดที่ดิน!BT69"")"),0)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 hidden="1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IFERROR(__xludf.DUMMYFUNCTION("IMPORTRANGE(""https://docs.google.com/spreadsheets/d/1QqKyyYR6Q21VydFLVH3TRQUabQu_ym0Zz7PgGX0-kHA/edit?usp=sharing"",""แผน!IP69"")"),0)</f>
        <v>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 hidden="1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 hidden="1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 hidden="1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 hidden="1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 hidden="1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 hidden="1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8">
        <f t="shared" ref="I785:J785" ca="1" si="317">I800</f>
        <v>5000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335200</v>
      </c>
      <c r="M786" s="191">
        <f t="shared" si="318"/>
        <v>0</v>
      </c>
      <c r="N786" s="191">
        <f t="shared" si="318"/>
        <v>13000</v>
      </c>
      <c r="O786" s="191">
        <f t="shared" ref="O786:O791" ca="1" si="319">IF(L786&gt;0,N786*100/L786,0)</f>
        <v>3.8782816229116945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335200</v>
      </c>
      <c r="M788" s="90">
        <f t="shared" si="321"/>
        <v>0</v>
      </c>
      <c r="N788" s="90">
        <f t="shared" si="321"/>
        <v>13000</v>
      </c>
      <c r="O788" s="90">
        <f t="shared" ca="1" si="319"/>
        <v>3.8782816229116945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335200</v>
      </c>
      <c r="M789" s="495">
        <f t="shared" si="322"/>
        <v>0</v>
      </c>
      <c r="N789" s="495">
        <f t="shared" si="322"/>
        <v>13000</v>
      </c>
      <c r="O789" s="495">
        <f t="shared" ca="1" si="319"/>
        <v>3.8782816229116945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IFERROR(__xludf.DUMMYFUNCTION("IMPORTRANGE(""https://docs.google.com/spreadsheets/d/1QqKyyYR6Q21VydFLVH3TRQUabQu_ym0Zz7PgGX0-kHA/edit?usp=sharing"",""แผน!JJ69"")"),335200)</f>
        <v>335200</v>
      </c>
      <c r="M791" s="90">
        <v>0</v>
      </c>
      <c r="N791" s="90">
        <f>N792+N793+N794+N795</f>
        <v>13000</v>
      </c>
      <c r="O791" s="90">
        <f t="shared" ca="1" si="319"/>
        <v>3.8782816229116945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13000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IFERROR(__xludf.DUMMYFUNCTION("IMPORTRANGE(""https://docs.google.com/spreadsheets/d/1QqKyyYR6Q21VydFLVH3TRQUabQu_ym0Zz7PgGX0-kHA/edit?usp=sharing"",""แผน!JN69"")"),5000)</f>
        <v>5000</v>
      </c>
      <c r="J800" s="180">
        <f ca="1">IFERROR(__xludf.DUMMYFUNCTION("IMPORTRANGE(""https://docs.google.com/spreadsheets/d/1MaWodYyGHDf7siQLGxnXhG4mBNTNIuy296niS2xXulU/edit?usp=sharing"",""RTK!H69"")"),0)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IFERROR(__xludf.DUMMYFUNCTION("IMPORTRANGE(""https://docs.google.com/spreadsheets/d/1MaWodYyGHDf7siQLGxnXhG4mBNTNIuy296niS2xXulU/edit?usp=sharing"",""RTK!I69"")"),0)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264">
        <f ca="1">IFERROR(__xludf.DUMMYFUNCTION("IMPORTRANGE(""https://docs.google.com/spreadsheets/d/19vJNZY_5yjcGF2XGBMNZRCAIB0Kwfpjp8YEOfu-bneM/edit?usp=sharing"",""งานกองทุน!F69"")"),0)</f>
        <v>0</v>
      </c>
      <c r="K821" s="495">
        <f t="shared" ref="K821:K828" ca="1" si="334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IFERROR(__xludf.DUMMYFUNCTION("IMPORTRANGE(""https://docs.google.com/spreadsheets/d/19vJNZY_5yjcGF2XGBMNZRCAIB0Kwfpjp8YEOfu-bneM/edit?usp=sharing"",""งานกองทุน!C69"")"),600)</f>
        <v>600</v>
      </c>
      <c r="J822" s="264">
        <f ca="1">IFERROR(__xludf.DUMMYFUNCTION("IMPORTRANGE(""https://docs.google.com/spreadsheets/d/19vJNZY_5yjcGF2XGBMNZRCAIB0Kwfpjp8YEOfu-bneM/edit?usp=sharing"",""งานกองทุน!E69"")"),0)</f>
        <v>0</v>
      </c>
      <c r="K822" s="495">
        <f t="shared" ca="1" si="334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264">
        <f ca="1">IFERROR(__xludf.DUMMYFUNCTION("IMPORTRANGE(""https://docs.google.com/spreadsheets/d/19vJNZY_5yjcGF2XGBMNZRCAIB0Kwfpjp8YEOfu-bneM/edit?usp=sharing"",""งานกองทุน!K69"")"),66390.56)</f>
        <v>66390.559999999998</v>
      </c>
      <c r="K823" s="495">
        <f t="shared" ca="1" si="334"/>
        <v>1.6133578703255023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IFERROR(__xludf.DUMMYFUNCTION("IMPORTRANGE(""https://docs.google.com/spreadsheets/d/19vJNZY_5yjcGF2XGBMNZRCAIB0Kwfpjp8YEOfu-bneM/edit?usp=sharing"",""งานกองทุน!H69"")"),163)</f>
        <v>163</v>
      </c>
      <c r="J824" s="264">
        <f ca="1">IFERROR(__xludf.DUMMYFUNCTION("IMPORTRANGE(""https://docs.google.com/spreadsheets/d/19vJNZY_5yjcGF2XGBMNZRCAIB0Kwfpjp8YEOfu-bneM/edit?usp=sharing"",""งานกองทุน!J69"")"),15)</f>
        <v>15</v>
      </c>
      <c r="K824" s="495">
        <f t="shared" ca="1" si="334"/>
        <v>9.2024539877300615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IFERROR(__xludf.DUMMYFUNCTION("IMPORTRANGE(""https://docs.google.com/spreadsheets/d/19vJNZY_5yjcGF2XGBMNZRCAIB0Kwfpjp8YEOfu-bneM/edit?usp=sharing"",""งานกองทุน!N69"")"),0)</f>
        <v>0</v>
      </c>
      <c r="J825" s="264">
        <f ca="1">IFERROR(__xludf.DUMMYFUNCTION("IMPORTRANGE(""https://docs.google.com/spreadsheets/d/19vJNZY_5yjcGF2XGBMNZRCAIB0Kwfpjp8YEOfu-bneM/edit?usp=sharing"",""งานกองทุน!P69"")"),0)</f>
        <v>0</v>
      </c>
      <c r="K825" s="495">
        <f t="shared" ca="1" si="334"/>
        <v>0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IFERROR(__xludf.DUMMYFUNCTION("IMPORTRANGE(""https://docs.google.com/spreadsheets/d/19vJNZY_5yjcGF2XGBMNZRCAIB0Kwfpjp8YEOfu-bneM/edit?usp=sharing"",""งานกองทุน!M69"")"),0)</f>
        <v>0</v>
      </c>
      <c r="J826" s="264">
        <f ca="1">IFERROR(__xludf.DUMMYFUNCTION("IMPORTRANGE(""https://docs.google.com/spreadsheets/d/19vJNZY_5yjcGF2XGBMNZRCAIB0Kwfpjp8YEOfu-bneM/edit?usp=sharing"",""งานกองทุน!O69"")"),0)</f>
        <v>0</v>
      </c>
      <c r="K826" s="495">
        <f t="shared" ca="1" si="334"/>
        <v>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IFERROR(__xludf.DUMMYFUNCTION("IMPORTRANGE(""https://docs.google.com/spreadsheets/d/19vJNZY_5yjcGF2XGBMNZRCAIB0Kwfpjp8YEOfu-bneM/edit?usp=sharing"",""งานกองทุน!S69"")"),10000000)</f>
        <v>10000000</v>
      </c>
      <c r="J827" s="264">
        <f ca="1">IFERROR(__xludf.DUMMYFUNCTION("IMPORTRANGE(""https://docs.google.com/spreadsheets/d/19vJNZY_5yjcGF2XGBMNZRCAIB0Kwfpjp8YEOfu-bneM/edit?usp=sharing"",""งานกองทุน!U69"")"),0)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IFERROR(__xludf.DUMMYFUNCTION("IMPORTRANGE(""https://docs.google.com/spreadsheets/d/19vJNZY_5yjcGF2XGBMNZRCAIB0Kwfpjp8YEOfu-bneM/edit?usp=sharing"",""งานกองทุน!R69"")"),302)</f>
        <v>302</v>
      </c>
      <c r="J828" s="498">
        <f ca="1">IFERROR(__xludf.DUMMYFUNCTION("IMPORTRANGE(""https://docs.google.com/spreadsheets/d/19vJNZY_5yjcGF2XGBMNZRCAIB0Kwfpjp8YEOfu-bneM/edit?usp=sharing"",""งานกองทุน!T69"")"),54)</f>
        <v>54</v>
      </c>
      <c r="K828" s="499">
        <f t="shared" ca="1" si="334"/>
        <v>17.880794701986755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92B8-303C-4D39-AA9E-0CA7509F5D67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355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4070279</v>
      </c>
      <c r="M8" s="21">
        <f t="shared" ca="1" si="0"/>
        <v>1527516</v>
      </c>
      <c r="N8" s="21">
        <f t="shared" ca="1" si="0"/>
        <v>678744.77</v>
      </c>
      <c r="O8" s="21">
        <f t="shared" ref="O8:O16" ca="1" si="1">IF(L8&gt;0,N8*100/L8,0)</f>
        <v>16.675632554918227</v>
      </c>
      <c r="P8" s="21">
        <f t="shared" ref="P8:P16" ca="1" si="2">IF(M8&gt;0,N8*100/M8,0)</f>
        <v>44.43454405714899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4070279</v>
      </c>
      <c r="M10" s="29">
        <f t="shared" ca="1" si="3"/>
        <v>1527516</v>
      </c>
      <c r="N10" s="29">
        <f t="shared" ca="1" si="3"/>
        <v>678744.77</v>
      </c>
      <c r="O10" s="29">
        <f t="shared" ca="1" si="1"/>
        <v>16.675632554918227</v>
      </c>
      <c r="P10" s="29">
        <f t="shared" ca="1" si="2"/>
        <v>44.43454405714899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3956479</v>
      </c>
      <c r="M11" s="495">
        <f t="shared" ca="1" si="4"/>
        <v>1413716</v>
      </c>
      <c r="N11" s="495">
        <f t="shared" ca="1" si="4"/>
        <v>564944.77</v>
      </c>
      <c r="O11" s="495">
        <f t="shared" ca="1" si="1"/>
        <v>14.278978101488722</v>
      </c>
      <c r="P11" s="495">
        <f t="shared" ca="1" si="2"/>
        <v>39.961687495932708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3956479</v>
      </c>
      <c r="M13" s="90">
        <f t="shared" ca="1" si="5"/>
        <v>1413716</v>
      </c>
      <c r="N13" s="90">
        <f t="shared" ca="1" si="5"/>
        <v>564944.77</v>
      </c>
      <c r="O13" s="90">
        <f t="shared" ca="1" si="1"/>
        <v>14.278978101488722</v>
      </c>
      <c r="P13" s="90">
        <f t="shared" ca="1" si="2"/>
        <v>39.961687495932708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113800</v>
      </c>
      <c r="M14" s="495">
        <f t="shared" ca="1" si="6"/>
        <v>113800</v>
      </c>
      <c r="N14" s="495">
        <f t="shared" ca="1" si="6"/>
        <v>113800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113800</v>
      </c>
      <c r="M16" s="51">
        <f t="shared" ca="1" si="7"/>
        <v>113800</v>
      </c>
      <c r="N16" s="51">
        <f t="shared" ca="1" si="7"/>
        <v>113800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2913016</v>
      </c>
      <c r="M18" s="21">
        <f t="shared" ca="1" si="8"/>
        <v>1527516</v>
      </c>
      <c r="N18" s="21">
        <f t="shared" ca="1" si="8"/>
        <v>678744.77</v>
      </c>
      <c r="O18" s="21">
        <f t="shared" ref="O18:O26" ca="1" si="9">IF(L18&gt;0,N18*100/L18,0)</f>
        <v>23.300413385988954</v>
      </c>
      <c r="P18" s="21">
        <f t="shared" ref="P18:P26" ca="1" si="10">IF(M18&gt;0,N18*100/M18,0)</f>
        <v>44.43454405714899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2913016</v>
      </c>
      <c r="M20" s="29">
        <f t="shared" ca="1" si="11"/>
        <v>1527516</v>
      </c>
      <c r="N20" s="29">
        <f t="shared" ca="1" si="11"/>
        <v>678744.77</v>
      </c>
      <c r="O20" s="29">
        <f t="shared" ca="1" si="9"/>
        <v>23.300413385988954</v>
      </c>
      <c r="P20" s="29">
        <f t="shared" ca="1" si="10"/>
        <v>44.43454405714899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2799216</v>
      </c>
      <c r="M21" s="495">
        <f t="shared" ca="1" si="12"/>
        <v>1413716</v>
      </c>
      <c r="N21" s="495">
        <f t="shared" ca="1" si="12"/>
        <v>564944.77</v>
      </c>
      <c r="O21" s="495">
        <f t="shared" ca="1" si="9"/>
        <v>20.182249958559826</v>
      </c>
      <c r="P21" s="495">
        <f t="shared" ca="1" si="10"/>
        <v>39.961687495932708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2799216</v>
      </c>
      <c r="M23" s="90">
        <f t="shared" ca="1" si="13"/>
        <v>1413716</v>
      </c>
      <c r="N23" s="90">
        <f t="shared" ca="1" si="13"/>
        <v>564944.77</v>
      </c>
      <c r="O23" s="90">
        <f t="shared" ca="1" si="9"/>
        <v>20.182249958559826</v>
      </c>
      <c r="P23" s="90">
        <f t="shared" ca="1" si="10"/>
        <v>39.961687495932708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113800</v>
      </c>
      <c r="M24" s="495">
        <f t="shared" ca="1" si="14"/>
        <v>113800</v>
      </c>
      <c r="N24" s="495">
        <f t="shared" ca="1" si="14"/>
        <v>113800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113800</v>
      </c>
      <c r="M26" s="51">
        <f t="shared" ca="1" si="15"/>
        <v>113800</v>
      </c>
      <c r="N26" s="51">
        <f t="shared" ca="1" si="15"/>
        <v>113800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1157263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1157263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1157263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1157263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2913016</v>
      </c>
      <c r="M37" s="57">
        <f t="shared" ca="1" si="24"/>
        <v>1527516</v>
      </c>
      <c r="N37" s="57">
        <f t="shared" ca="1" si="24"/>
        <v>678744.77</v>
      </c>
      <c r="O37" s="57">
        <f t="shared" ca="1" si="17"/>
        <v>23.300413385988954</v>
      </c>
      <c r="P37" s="57">
        <f t="shared" ca="1" si="18"/>
        <v>44.43454405714899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474896</v>
      </c>
      <c r="M41" s="82">
        <f t="shared" ca="1" si="25"/>
        <v>239396</v>
      </c>
      <c r="N41" s="82">
        <f t="shared" ca="1" si="25"/>
        <v>99196</v>
      </c>
      <c r="O41" s="82">
        <f t="shared" ref="O41:O49" ca="1" si="26">IF(L41&gt;0,N41*100/L41,0)</f>
        <v>20.8879417809373</v>
      </c>
      <c r="P41" s="82">
        <f t="shared" ref="P41:P49" ca="1" si="27">IF(M41&gt;0,N41*100/M41,0)</f>
        <v>41.435947133619607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474896</v>
      </c>
      <c r="M43" s="89">
        <f t="shared" ca="1" si="28"/>
        <v>239396</v>
      </c>
      <c r="N43" s="89">
        <f t="shared" ca="1" si="28"/>
        <v>99196</v>
      </c>
      <c r="O43" s="89">
        <f t="shared" ca="1" si="26"/>
        <v>20.8879417809373</v>
      </c>
      <c r="P43" s="89">
        <f t="shared" ca="1" si="27"/>
        <v>41.435947133619607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474896</v>
      </c>
      <c r="M44" s="495">
        <f t="shared" ca="1" si="29"/>
        <v>239396</v>
      </c>
      <c r="N44" s="495">
        <f t="shared" ca="1" si="29"/>
        <v>99196</v>
      </c>
      <c r="O44" s="495">
        <f t="shared" ca="1" si="26"/>
        <v>20.8879417809373</v>
      </c>
      <c r="P44" s="495">
        <f t="shared" ca="1" si="27"/>
        <v>41.435947133619607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IFERROR(__xludf.DUMMYFUNCTION("IMPORTRANGE(""https://docs.google.com/spreadsheets/d/1MeEWN-I1oV_STSDYn1IFDPWt_1FKiwhDph83XaGc0o0/edit?usp=sharing"",""งบพรบ!M70"")"),474896)</f>
        <v>474896</v>
      </c>
      <c r="M46" s="90">
        <f ca="1">IFERROR(__xludf.DUMMYFUNCTION("IMPORTRANGE(""https://docs.google.com/spreadsheets/d/1MeEWN-I1oV_STSDYn1IFDPWt_1FKiwhDph83XaGc0o0/edit?usp=sharing"",""งบพรบ!R70"")"),239396)</f>
        <v>239396</v>
      </c>
      <c r="N46" s="90">
        <f ca="1">IFERROR(__xludf.DUMMYFUNCTION("IMPORTRANGE(""https://docs.google.com/spreadsheets/d/1MeEWN-I1oV_STSDYn1IFDPWt_1FKiwhDph83XaGc0o0/edit?usp=sharing"",""งบพรบ!T70"")"),99196)</f>
        <v>99196</v>
      </c>
      <c r="O46" s="90">
        <f t="shared" ca="1" si="26"/>
        <v>20.8879417809373</v>
      </c>
      <c r="P46" s="90">
        <f t="shared" ca="1" si="27"/>
        <v>41.435947133619607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IFERROR(__xludf.DUMMYFUNCTION("IMPORTRANGE(""https://docs.google.com/spreadsheets/d/1MeEWN-I1oV_STSDYn1IFDPWt_1FKiwhDph83XaGc0o0/edit?usp=sharing"",""งบพรบ!P70"")"),0)</f>
        <v>0</v>
      </c>
      <c r="M49" s="51">
        <f ca="1">IFERROR(__xludf.DUMMYFUNCTION("IMPORTRANGE(""https://docs.google.com/spreadsheets/d/1MeEWN-I1oV_STSDYn1IFDPWt_1FKiwhDph83XaGc0o0/edit?usp=sharing"",""งบพรบ!S70"")"),0)</f>
        <v>0</v>
      </c>
      <c r="N49" s="51">
        <f ca="1">IFERROR(__xludf.DUMMYFUNCTION("IMPORTRANGE(""https://docs.google.com/spreadsheets/d/1MeEWN-I1oV_STSDYn1IFDPWt_1FKiwhDph83XaGc0o0/edit?usp=sharing"",""งบพรบ!U70"")"),0)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643000</v>
      </c>
      <c r="M53" s="112">
        <f t="shared" ca="1" si="31"/>
        <v>321500</v>
      </c>
      <c r="N53" s="112">
        <f t="shared" ca="1" si="31"/>
        <v>234121.77</v>
      </c>
      <c r="O53" s="112">
        <f t="shared" ref="O53:O61" ca="1" si="32">IF(L53&gt;0,N53*100/L53,0)</f>
        <v>36.410850699844481</v>
      </c>
      <c r="P53" s="112">
        <f t="shared" ref="P53:P61" ca="1" si="33">IF(M53&gt;0,N53*100/M53,0)</f>
        <v>72.821701399688962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643000</v>
      </c>
      <c r="M55" s="119">
        <f t="shared" ca="1" si="34"/>
        <v>321500</v>
      </c>
      <c r="N55" s="119">
        <f t="shared" ca="1" si="34"/>
        <v>234121.77</v>
      </c>
      <c r="O55" s="119">
        <f t="shared" ca="1" si="32"/>
        <v>36.410850699844481</v>
      </c>
      <c r="P55" s="119">
        <f t="shared" ca="1" si="33"/>
        <v>72.821701399688962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643000</v>
      </c>
      <c r="M56" s="495">
        <f t="shared" ca="1" si="35"/>
        <v>321500</v>
      </c>
      <c r="N56" s="495">
        <f t="shared" ca="1" si="35"/>
        <v>234121.77</v>
      </c>
      <c r="O56" s="495">
        <f t="shared" ca="1" si="32"/>
        <v>36.410850699844481</v>
      </c>
      <c r="P56" s="495">
        <f t="shared" ca="1" si="33"/>
        <v>72.821701399688962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IFERROR(__xludf.DUMMYFUNCTION("IMPORTRANGE(""https://docs.google.com/spreadsheets/d/1MeEWN-I1oV_STSDYn1IFDPWt_1FKiwhDph83XaGc0o0/edit?usp=sharing"",""งบพรบ!W70"")"),643000)</f>
        <v>643000</v>
      </c>
      <c r="M58" s="90">
        <f ca="1">IFERROR(__xludf.DUMMYFUNCTION("IMPORTRANGE(""https://docs.google.com/spreadsheets/d/1MeEWN-I1oV_STSDYn1IFDPWt_1FKiwhDph83XaGc0o0/edit?usp=sharing"",""งบพรบ!AB70"")"),321500)</f>
        <v>321500</v>
      </c>
      <c r="N58" s="90">
        <f ca="1">IFERROR(__xludf.DUMMYFUNCTION("IMPORTRANGE(""https://docs.google.com/spreadsheets/d/1MeEWN-I1oV_STSDYn1IFDPWt_1FKiwhDph83XaGc0o0/edit?usp=sharing"",""งบพรบ!AD70"")"),234121.77)</f>
        <v>234121.77</v>
      </c>
      <c r="O58" s="90">
        <f t="shared" ca="1" si="32"/>
        <v>36.410850699844481</v>
      </c>
      <c r="P58" s="90">
        <f t="shared" ca="1" si="33"/>
        <v>72.821701399688962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IFERROR(__xludf.DUMMYFUNCTION("IMPORTRANGE(""https://docs.google.com/spreadsheets/d/1MeEWN-I1oV_STSDYn1IFDPWt_1FKiwhDph83XaGc0o0/edit?usp=sharing"",""งบพรบ!Z70"")"),0)</f>
        <v>0</v>
      </c>
      <c r="M61" s="51">
        <f ca="1">IFERROR(__xludf.DUMMYFUNCTION("IMPORTRANGE(""https://docs.google.com/spreadsheets/d/1MeEWN-I1oV_STSDYn1IFDPWt_1FKiwhDph83XaGc0o0/edit?usp=sharing"",""งบพรบ!AC70"")"),0)</f>
        <v>0</v>
      </c>
      <c r="N61" s="51">
        <f ca="1">IFERROR(__xludf.DUMMYFUNCTION("IMPORTRANGE(""https://docs.google.com/spreadsheets/d/1MeEWN-I1oV_STSDYn1IFDPWt_1FKiwhDph83XaGc0o0/edit?usp=sharing"",""งบพรบ!AE70"")"),0)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IFERROR(__xludf.DUMMYFUNCTION("IMPORTRANGE(""https://docs.google.com/spreadsheets/d/1MeEWN-I1oV_STSDYn1IFDPWt_1FKiwhDph83XaGc0o0/edit?usp=sharing"",""งบพรบ!AG70"")"),0)</f>
        <v>0</v>
      </c>
      <c r="M71" s="90">
        <f ca="1">IFERROR(__xludf.DUMMYFUNCTION("IMPORTRANGE(""https://docs.google.com/spreadsheets/d/1MeEWN-I1oV_STSDYn1IFDPWt_1FKiwhDph83XaGc0o0/edit?usp=sharing"",""งบพรบ!AL70"")"),0)</f>
        <v>0</v>
      </c>
      <c r="N71" s="90">
        <f ca="1">IFERROR(__xludf.DUMMYFUNCTION("IMPORTRANGE(""https://docs.google.com/spreadsheets/d/1MeEWN-I1oV_STSDYn1IFDPWt_1FKiwhDph83XaGc0o0/edit?usp=sharing"",""งบพรบ!AN70"")"),0)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IFERROR(__xludf.DUMMYFUNCTION("IMPORTRANGE(""https://docs.google.com/spreadsheets/d/1MeEWN-I1oV_STSDYn1IFDPWt_1FKiwhDph83XaGc0o0/edit?usp=sharing"",""งบพรบ!AJ70"")"),0)</f>
        <v>0</v>
      </c>
      <c r="M74" s="90">
        <f ca="1">IFERROR(__xludf.DUMMYFUNCTION("IMPORTRANGE(""https://docs.google.com/spreadsheets/d/1MeEWN-I1oV_STSDYn1IFDPWt_1FKiwhDph83XaGc0o0/edit?usp=sharing"",""งบพรบ!AM70"")"),0)</f>
        <v>0</v>
      </c>
      <c r="N74" s="90">
        <f ca="1">IFERROR(__xludf.DUMMYFUNCTION("IMPORTRANGE(""https://docs.google.com/spreadsheets/d/1MeEWN-I1oV_STSDYn1IFDPWt_1FKiwhDph83XaGc0o0/edit?usp=sharing"",""งบพรบ!AO70"")"),0)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IFERROR(__xludf.DUMMYFUNCTION("IMPORTRANGE(""https://docs.google.com/spreadsheets/d/1QqKyyYR6Q21VydFLVH3TRQUabQu_ym0Zz7PgGX0-kHA/edit?usp=sharing"",""แผน!H70"")"),0)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IFERROR(__xludf.DUMMYFUNCTION("IMPORTRANGE(""https://docs.google.com/spreadsheets/d/1QqKyyYR6Q21VydFLVH3TRQUabQu_ym0Zz7PgGX0-kHA/edit?usp=sharing"",""แผน!I70"")"),0)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IFERROR(__xludf.DUMMYFUNCTION("IMPORTRANGE(""https://docs.google.com/spreadsheets/d/1QqKyyYR6Q21VydFLVH3TRQUabQu_ym0Zz7PgGX0-kHA/edit?usp=sharing"",""แผน!F70"")"),0)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IFERROR(__xludf.DUMMYFUNCTION("IMPORTRANGE(""https://docs.google.com/spreadsheets/d/1QqKyyYR6Q21VydFLVH3TRQUabQu_ym0Zz7PgGX0-kHA/edit?usp=sharing"",""แผน!G70"")"),0)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IFERROR(__xludf.DUMMYFUNCTION("IMPORTRANGE(""https://docs.google.com/spreadsheets/d/1QqKyyYR6Q21VydFLVH3TRQUabQu_ym0Zz7PgGX0-kHA/edit?usp=sharing"",""แผน!D70"")"),0)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IFERROR(__xludf.DUMMYFUNCTION("IMPORTRANGE(""https://docs.google.com/spreadsheets/d/1QqKyyYR6Q21VydFLVH3TRQUabQu_ym0Zz7PgGX0-kHA/edit?usp=sharing"",""แผน!E70"")"),0)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IFERROR(__xludf.DUMMYFUNCTION("IMPORTRANGE(""https://docs.google.com/spreadsheets/d/1QqKyyYR6Q21VydFLVH3TRQUabQu_ym0Zz7PgGX0-kHA/edit?usp=sharing"",""แผน!J70"")"),0)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45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15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68660</v>
      </c>
      <c r="M88" s="151">
        <f t="shared" ca="1" si="49"/>
        <v>32760</v>
      </c>
      <c r="N88" s="151">
        <f t="shared" ca="1" si="49"/>
        <v>0</v>
      </c>
      <c r="O88" s="151">
        <f t="shared" ref="O88:O96" ca="1" si="50">IF(L88&gt;0,N88*100/L88,0)</f>
        <v>0</v>
      </c>
      <c r="P88" s="151">
        <f t="shared" ref="P88:P96" ca="1" si="51">IF(M88&gt;0,N88*100/M88,0)</f>
        <v>0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68660</v>
      </c>
      <c r="M90" s="90">
        <f t="shared" ca="1" si="52"/>
        <v>32760</v>
      </c>
      <c r="N90" s="90">
        <f t="shared" ca="1" si="52"/>
        <v>0</v>
      </c>
      <c r="O90" s="90">
        <f t="shared" ca="1" si="50"/>
        <v>0</v>
      </c>
      <c r="P90" s="90">
        <f t="shared" ca="1" si="51"/>
        <v>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68660</v>
      </c>
      <c r="M91" s="495">
        <f t="shared" ca="1" si="53"/>
        <v>32760</v>
      </c>
      <c r="N91" s="495">
        <f t="shared" ca="1" si="53"/>
        <v>0</v>
      </c>
      <c r="O91" s="495">
        <f t="shared" ca="1" si="50"/>
        <v>0</v>
      </c>
      <c r="P91" s="495">
        <f t="shared" ca="1" si="51"/>
        <v>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IFERROR(__xludf.DUMMYFUNCTION("IMPORTRANGE(""https://docs.google.com/spreadsheets/d/1MeEWN-I1oV_STSDYn1IFDPWt_1FKiwhDph83XaGc0o0/edit?usp=sharing"",""งบพรบ!AQ70"")"),68660)</f>
        <v>68660</v>
      </c>
      <c r="M93" s="90">
        <f ca="1">IFERROR(__xludf.DUMMYFUNCTION("IMPORTRANGE(""https://docs.google.com/spreadsheets/d/1MeEWN-I1oV_STSDYn1IFDPWt_1FKiwhDph83XaGc0o0/edit?usp=sharing"",""งบพรบ!AV70"")"),32760)</f>
        <v>32760</v>
      </c>
      <c r="N93" s="90">
        <f ca="1">IFERROR(__xludf.DUMMYFUNCTION("IMPORTRANGE(""https://docs.google.com/spreadsheets/d/1MeEWN-I1oV_STSDYn1IFDPWt_1FKiwhDph83XaGc0o0/edit?usp=sharing"",""งบพรบ!AX70"")"),0)</f>
        <v>0</v>
      </c>
      <c r="O93" s="90">
        <f t="shared" ca="1" si="50"/>
        <v>0</v>
      </c>
      <c r="P93" s="90">
        <f t="shared" ca="1" si="51"/>
        <v>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IFERROR(__xludf.DUMMYFUNCTION("IMPORTRANGE(""https://docs.google.com/spreadsheets/d/1MeEWN-I1oV_STSDYn1IFDPWt_1FKiwhDph83XaGc0o0/edit?usp=sharing"",""งบพรบ!AT70"")"),0)</f>
        <v>0</v>
      </c>
      <c r="M96" s="90">
        <f ca="1">IFERROR(__xludf.DUMMYFUNCTION("IMPORTRANGE(""https://docs.google.com/spreadsheets/d/1MeEWN-I1oV_STSDYn1IFDPWt_1FKiwhDph83XaGc0o0/edit?usp=sharing"",""งบพรบ!AW70"")"),0)</f>
        <v>0</v>
      </c>
      <c r="N96" s="90">
        <f ca="1">IFERROR(__xludf.DUMMYFUNCTION("IMPORTRANGE(""https://docs.google.com/spreadsheets/d/1MeEWN-I1oV_STSDYn1IFDPWt_1FKiwhDph83XaGc0o0/edit?usp=sharing"",""งบพรบ!AY70"")"),0)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IFERROR(__xludf.DUMMYFUNCTION("IMPORTRANGE(""https://docs.google.com/spreadsheets/d/1QqKyyYR6Q21VydFLVH3TRQUabQu_ym0Zz7PgGX0-kHA/edit?usp=sharing"",""แผน!K70"")"),45)</f>
        <v>45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IFERROR(__xludf.DUMMYFUNCTION("IMPORTRANGE(""https://docs.google.com/spreadsheets/d/1QqKyyYR6Q21VydFLVH3TRQUabQu_ym0Zz7PgGX0-kHA/edit?usp=sharing"",""แผน!L70"")"),15)</f>
        <v>15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IFERROR(__xludf.DUMMYFUNCTION("IMPORTRANGE(""https://docs.google.com/spreadsheets/d/1QqKyyYR6Q21VydFLVH3TRQUabQu_ym0Zz7PgGX0-kHA/edit?usp=sharing"",""แผน!M70"")"),1)</f>
        <v>1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IFERROR(__xludf.DUMMYFUNCTION("IMPORTRANGE(""https://docs.google.com/spreadsheets/d/1QqKyyYR6Q21VydFLVH3TRQUabQu_ym0Zz7PgGX0-kHA/edit?usp=sharing"",""แผน!N70"")"),45)</f>
        <v>45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IFERROR(__xludf.DUMMYFUNCTION("IMPORTRANGE(""https://docs.google.com/spreadsheets/d/1QqKyyYR6Q21VydFLVH3TRQUabQu_ym0Zz7PgGX0-kHA/edit?usp=sharing"",""แผน!O70"")"),15)</f>
        <v>15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IFERROR(__xludf.DUMMYFUNCTION("IMPORTRANGE(""https://docs.google.com/spreadsheets/d/1QqKyyYR6Q21VydFLVH3TRQUabQu_ym0Zz7PgGX0-kHA/edit?usp=sharing"",""แผน!O70"")"),15)</f>
        <v>15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IFERROR(__xludf.DUMMYFUNCTION("IMPORTRANGE(""https://docs.google.com/spreadsheets/d/1QqKyyYR6Q21VydFLVH3TRQUabQu_ym0Zz7PgGX0-kHA/edit?usp=sharing"",""แผน!P70"")"),0)</f>
        <v>0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IFERROR(__xludf.DUMMYFUNCTION("IMPORTRANGE(""https://docs.google.com/spreadsheets/d/1QqKyyYR6Q21VydFLVH3TRQUabQu_ym0Zz7PgGX0-kHA/edit?usp=sharing"",""แผน!P70"")"),0)</f>
        <v>0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IFERROR(__xludf.DUMMYFUNCTION("IMPORTRANGE(""https://docs.google.com/spreadsheets/d/1QqKyyYR6Q21VydFLVH3TRQUabQu_ym0Zz7PgGX0-kHA/edit?usp=sharing"",""แผน!Q70"")"),1)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IFERROR(__xludf.DUMMYFUNCTION("IMPORTRANGE(""https://docs.google.com/spreadsheets/d/1QqKyyYR6Q21VydFLVH3TRQUabQu_ym0Zz7PgGX0-kHA/edit?usp=sharing"",""แผน!Q70"")"),1)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IFERROR(__xludf.DUMMYFUNCTION("IMPORTRANGE(""https://docs.google.com/spreadsheets/d/1QqKyyYR6Q21VydFLVH3TRQUabQu_ym0Zz7PgGX0-kHA/edit?usp=sharing"",""แผน!R70"")"),15)</f>
        <v>15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1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IFERROR(__xludf.DUMMYFUNCTION("IMPORTRANGE(""https://docs.google.com/spreadsheets/d/1QqKyyYR6Q21VydFLVH3TRQUabQu_ym0Zz7PgGX0-kHA/edit?usp=sharing"",""แผน!R70"")"),15)</f>
        <v>15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IFERROR(__xludf.DUMMYFUNCTION("IMPORTRANGE(""https://docs.google.com/spreadsheets/d/1QqKyyYR6Q21VydFLVH3TRQUabQu_ym0Zz7PgGX0-kHA/edit?usp=sharing"",""แผน!R70"")"),15)</f>
        <v>15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IFERROR(__xludf.DUMMYFUNCTION("IMPORTRANGE(""https://docs.google.com/spreadsheets/d/1QqKyyYR6Q21VydFLVH3TRQUabQu_ym0Zz7PgGX0-kHA/edit?usp=sharing"",""แผน!S70"")"),0)</f>
        <v>0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IFERROR(__xludf.DUMMYFUNCTION("IMPORTRANGE(""https://docs.google.com/spreadsheets/d/1QqKyyYR6Q21VydFLVH3TRQUabQu_ym0Zz7PgGX0-kHA/edit?usp=sharing"",""แผน!T70"")"),1)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IFERROR(__xludf.DUMMYFUNCTION("IMPORTRANGE(""https://docs.google.com/spreadsheets/d/1MeEWN-I1oV_STSDYn1IFDPWt_1FKiwhDph83XaGc0o0/edit?usp=sharing"",""งบพรบ!BA70"")"),0)</f>
        <v>0</v>
      </c>
      <c r="M124" s="90">
        <f ca="1">IFERROR(__xludf.DUMMYFUNCTION("IMPORTRANGE(""https://docs.google.com/spreadsheets/d/1MeEWN-I1oV_STSDYn1IFDPWt_1FKiwhDph83XaGc0o0/edit?usp=sharing"",""งบพรบ!BF70"")"),0)</f>
        <v>0</v>
      </c>
      <c r="N124" s="90">
        <f ca="1">IFERROR(__xludf.DUMMYFUNCTION("IMPORTRANGE(""https://docs.google.com/spreadsheets/d/1MeEWN-I1oV_STSDYn1IFDPWt_1FKiwhDph83XaGc0o0/edit?usp=sharing"",""งบพรบ!BH70"")"),0)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IFERROR(__xludf.DUMMYFUNCTION("IMPORTRANGE(""https://docs.google.com/spreadsheets/d/1MeEWN-I1oV_STSDYn1IFDPWt_1FKiwhDph83XaGc0o0/edit?usp=sharing"",""งบพรบ!BD70"")"),0)</f>
        <v>0</v>
      </c>
      <c r="M127" s="90">
        <f ca="1">IFERROR(__xludf.DUMMYFUNCTION("IMPORTRANGE(""https://docs.google.com/spreadsheets/d/1MeEWN-I1oV_STSDYn1IFDPWt_1FKiwhDph83XaGc0o0/edit?usp=sharing"",""งบพรบ!BG70"")"),0)</f>
        <v>0</v>
      </c>
      <c r="N127" s="90">
        <f ca="1">IFERROR(__xludf.DUMMYFUNCTION("IMPORTRANGE(""https://docs.google.com/spreadsheets/d/1MeEWN-I1oV_STSDYn1IFDPWt_1FKiwhDph83XaGc0o0/edit?usp=sharing"",""งบพรบ!BI70"")"),0)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IFERROR(__xludf.DUMMYFUNCTION("IMPORTRANGE(""https://docs.google.com/spreadsheets/d/1MeEWN-I1oV_STSDYn1IFDPWt_1FKiwhDph83XaGc0o0/edit?usp=sharing"",""งบพรบ!BK70"")"),0)</f>
        <v>0</v>
      </c>
      <c r="M137" s="90">
        <f ca="1">IFERROR(__xludf.DUMMYFUNCTION("IMPORTRANGE(""https://docs.google.com/spreadsheets/d/1MeEWN-I1oV_STSDYn1IFDPWt_1FKiwhDph83XaGc0o0/edit?usp=sharing"",""งบพรบ!BP70"")"),0)</f>
        <v>0</v>
      </c>
      <c r="N137" s="90">
        <f ca="1">IFERROR(__xludf.DUMMYFUNCTION("IMPORTRANGE(""https://docs.google.com/spreadsheets/d/1MeEWN-I1oV_STSDYn1IFDPWt_1FKiwhDph83XaGc0o0/edit?usp=sharing"",""งบพรบ!BR70"")"),0)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IFERROR(__xludf.DUMMYFUNCTION("IMPORTRANGE(""https://docs.google.com/spreadsheets/d/1MeEWN-I1oV_STSDYn1IFDPWt_1FKiwhDph83XaGc0o0/edit?usp=sharing"",""งบพรบ!BN70"")"),0)</f>
        <v>0</v>
      </c>
      <c r="M140" s="90">
        <f ca="1">IFERROR(__xludf.DUMMYFUNCTION("IMPORTRANGE(""https://docs.google.com/spreadsheets/d/1MeEWN-I1oV_STSDYn1IFDPWt_1FKiwhDph83XaGc0o0/edit?usp=sharing"",""งบพรบ!BQ70"")"),0)</f>
        <v>0</v>
      </c>
      <c r="N140" s="90">
        <f ca="1">IFERROR(__xludf.DUMMYFUNCTION("IMPORTRANGE(""https://docs.google.com/spreadsheets/d/1MeEWN-I1oV_STSDYn1IFDPWt_1FKiwhDph83XaGc0o0/edit?usp=sharing"",""งบพรบ!BS70"")"),0)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IFERROR(__xludf.DUMMYFUNCTION("IMPORTRANGE(""https://docs.google.com/spreadsheets/d/1QqKyyYR6Q21VydFLVH3TRQUabQu_ym0Zz7PgGX0-kHA/edit?usp=sharing"",""แผน!U70"")"),0)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IFERROR(__xludf.DUMMYFUNCTION("IMPORTRANGE(""https://docs.google.com/spreadsheets/d/1QqKyyYR6Q21VydFLVH3TRQUabQu_ym0Zz7PgGX0-kHA/edit?usp=sharing"",""แผน!V70"")"),0)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IFERROR(__xludf.DUMMYFUNCTION("IMPORTRANGE(""https://docs.google.com/spreadsheets/d/1QqKyyYR6Q21VydFLVH3TRQUabQu_ym0Zz7PgGX0-kHA/edit?usp=sharing"",""แผน!W70"")"),0)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15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7500</v>
      </c>
      <c r="M149" s="151">
        <f t="shared" ca="1" si="77"/>
        <v>7500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7500</v>
      </c>
      <c r="M151" s="90">
        <f t="shared" ca="1" si="80"/>
        <v>7500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7500</v>
      </c>
      <c r="M152" s="495">
        <f t="shared" ca="1" si="81"/>
        <v>7500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IFERROR(__xludf.DUMMYFUNCTION("IMPORTRANGE(""https://docs.google.com/spreadsheets/d/1MeEWN-I1oV_STSDYn1IFDPWt_1FKiwhDph83XaGc0o0/edit?usp=sharing"",""งบพรบ!BU70"")"),7500)</f>
        <v>7500</v>
      </c>
      <c r="M154" s="90">
        <f ca="1">IFERROR(__xludf.DUMMYFUNCTION("IMPORTRANGE(""https://docs.google.com/spreadsheets/d/1MeEWN-I1oV_STSDYn1IFDPWt_1FKiwhDph83XaGc0o0/edit?usp=sharing"",""งบพรบ!BZ70"")"),7500)</f>
        <v>7500</v>
      </c>
      <c r="N154" s="90">
        <f ca="1">IFERROR(__xludf.DUMMYFUNCTION("IMPORTRANGE(""https://docs.google.com/spreadsheets/d/1MeEWN-I1oV_STSDYn1IFDPWt_1FKiwhDph83XaGc0o0/edit?usp=sharing"",""งบพรบ!CB70"")"),0)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IFERROR(__xludf.DUMMYFUNCTION("IMPORTRANGE(""https://docs.google.com/spreadsheets/d/1MeEWN-I1oV_STSDYn1IFDPWt_1FKiwhDph83XaGc0o0/edit?usp=sharing"",""งบพรบ!BX70"")"),0)</f>
        <v>0</v>
      </c>
      <c r="M157" s="90">
        <f ca="1">IFERROR(__xludf.DUMMYFUNCTION("IMPORTRANGE(""https://docs.google.com/spreadsheets/d/1MeEWN-I1oV_STSDYn1IFDPWt_1FKiwhDph83XaGc0o0/edit?usp=sharing"",""งบพรบ!CA70"")"),0)</f>
        <v>0</v>
      </c>
      <c r="N157" s="90">
        <f ca="1">IFERROR(__xludf.DUMMYFUNCTION("IMPORTRANGE(""https://docs.google.com/spreadsheets/d/1MeEWN-I1oV_STSDYn1IFDPWt_1FKiwhDph83XaGc0o0/edit?usp=sharing"",""งบพรบ!CC70"")"),0)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IFERROR(__xludf.DUMMYFUNCTION("IMPORTRANGE(""https://docs.google.com/spreadsheets/d/1QqKyyYR6Q21VydFLVH3TRQUabQu_ym0Zz7PgGX0-kHA/edit?usp=sharing"",""แผน!X70"")"),15)</f>
        <v>15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12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23060</v>
      </c>
      <c r="M165" s="150">
        <f t="shared" ca="1" si="84"/>
        <v>23060</v>
      </c>
      <c r="N165" s="150">
        <f t="shared" ca="1" si="84"/>
        <v>17830</v>
      </c>
      <c r="O165" s="150">
        <f t="shared" ref="O165:O173" ca="1" si="85">IF(L165&gt;0,N165*100/L165,0)</f>
        <v>77.320034692107541</v>
      </c>
      <c r="P165" s="150">
        <f t="shared" ref="P165:P173" ca="1" si="86">IF(M165&gt;0,N165*100/M165,0)</f>
        <v>77.320034692107541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23060</v>
      </c>
      <c r="M167" s="90">
        <f t="shared" ca="1" si="87"/>
        <v>23060</v>
      </c>
      <c r="N167" s="90">
        <f t="shared" ca="1" si="87"/>
        <v>17830</v>
      </c>
      <c r="O167" s="90">
        <f t="shared" ca="1" si="85"/>
        <v>77.320034692107541</v>
      </c>
      <c r="P167" s="90">
        <f t="shared" ca="1" si="86"/>
        <v>77.320034692107541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23060</v>
      </c>
      <c r="M168" s="495">
        <f t="shared" ca="1" si="88"/>
        <v>23060</v>
      </c>
      <c r="N168" s="495">
        <f t="shared" ca="1" si="88"/>
        <v>17830</v>
      </c>
      <c r="O168" s="495">
        <f t="shared" ca="1" si="85"/>
        <v>77.320034692107541</v>
      </c>
      <c r="P168" s="495">
        <f t="shared" ca="1" si="86"/>
        <v>77.320034692107541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IFERROR(__xludf.DUMMYFUNCTION("IMPORTRANGE(""https://docs.google.com/spreadsheets/d/1MeEWN-I1oV_STSDYn1IFDPWt_1FKiwhDph83XaGc0o0/edit?usp=sharing"",""งบพรบ!CE70"")"),23060)</f>
        <v>23060</v>
      </c>
      <c r="M170" s="90">
        <f ca="1">IFERROR(__xludf.DUMMYFUNCTION("IMPORTRANGE(""https://docs.google.com/spreadsheets/d/1MeEWN-I1oV_STSDYn1IFDPWt_1FKiwhDph83XaGc0o0/edit?usp=sharing"",""งบพรบ!CJ70"")"),23060)</f>
        <v>23060</v>
      </c>
      <c r="N170" s="90">
        <f ca="1">IFERROR(__xludf.DUMMYFUNCTION("IMPORTRANGE(""https://docs.google.com/spreadsheets/d/1MeEWN-I1oV_STSDYn1IFDPWt_1FKiwhDph83XaGc0o0/edit?usp=sharing"",""งบพรบ!CL70"")"),17830)</f>
        <v>17830</v>
      </c>
      <c r="O170" s="90">
        <f t="shared" ca="1" si="85"/>
        <v>77.320034692107541</v>
      </c>
      <c r="P170" s="90">
        <f t="shared" ca="1" si="86"/>
        <v>77.320034692107541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IFERROR(__xludf.DUMMYFUNCTION("IMPORTRANGE(""https://docs.google.com/spreadsheets/d/1MeEWN-I1oV_STSDYn1IFDPWt_1FKiwhDph83XaGc0o0/edit?usp=sharing"",""งบพรบ!CH70"")"),0)</f>
        <v>0</v>
      </c>
      <c r="M173" s="90">
        <f ca="1">IFERROR(__xludf.DUMMYFUNCTION("IMPORTRANGE(""https://docs.google.com/spreadsheets/d/1MeEWN-I1oV_STSDYn1IFDPWt_1FKiwhDph83XaGc0o0/edit?usp=sharing"",""งบพรบ!CK70"")"),0)</f>
        <v>0</v>
      </c>
      <c r="N173" s="90">
        <f ca="1">IFERROR(__xludf.DUMMYFUNCTION("IMPORTRANGE(""https://docs.google.com/spreadsheets/d/1MeEWN-I1oV_STSDYn1IFDPWt_1FKiwhDph83XaGc0o0/edit?usp=sharing"",""งบพรบ!CM70"")"),0)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12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IFERROR(__xludf.DUMMYFUNCTION("IMPORTRANGE(""https://docs.google.com/spreadsheets/d/1QqKyyYR6Q21VydFLVH3TRQUabQu_ym0Zz7PgGX0-kHA/edit?usp=sharing"",""แผน!Y70"")"),12)</f>
        <v>12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208200</v>
      </c>
      <c r="M181" s="150">
        <f t="shared" ca="1" si="91"/>
        <v>112600</v>
      </c>
      <c r="N181" s="150">
        <f t="shared" ca="1" si="91"/>
        <v>40565</v>
      </c>
      <c r="O181" s="150">
        <f t="shared" ref="O181:O189" ca="1" si="92">IF(L181&gt;0,N181*100/L181,0)</f>
        <v>19.483669548511045</v>
      </c>
      <c r="P181" s="150">
        <f t="shared" ref="P181:P189" ca="1" si="93">IF(M181&gt;0,N181*100/M181,0)</f>
        <v>36.025754884547069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208200</v>
      </c>
      <c r="M183" s="90">
        <f t="shared" ca="1" si="94"/>
        <v>112600</v>
      </c>
      <c r="N183" s="90">
        <f t="shared" ca="1" si="94"/>
        <v>40565</v>
      </c>
      <c r="O183" s="90">
        <f t="shared" ca="1" si="92"/>
        <v>19.483669548511045</v>
      </c>
      <c r="P183" s="90">
        <f t="shared" ca="1" si="93"/>
        <v>36.025754884547069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208200</v>
      </c>
      <c r="M184" s="495">
        <f t="shared" ca="1" si="95"/>
        <v>112600</v>
      </c>
      <c r="N184" s="495">
        <f t="shared" ca="1" si="95"/>
        <v>40565</v>
      </c>
      <c r="O184" s="495">
        <f t="shared" ca="1" si="92"/>
        <v>19.483669548511045</v>
      </c>
      <c r="P184" s="495">
        <f t="shared" ca="1" si="93"/>
        <v>36.025754884547069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IFERROR(__xludf.DUMMYFUNCTION("IMPORTRANGE(""https://docs.google.com/spreadsheets/d/1MeEWN-I1oV_STSDYn1IFDPWt_1FKiwhDph83XaGc0o0/edit?usp=sharing"",""งบพรบ!CO70"")"),208200)</f>
        <v>208200</v>
      </c>
      <c r="M186" s="90">
        <f ca="1">IFERROR(__xludf.DUMMYFUNCTION("IMPORTRANGE(""https://docs.google.com/spreadsheets/d/1MeEWN-I1oV_STSDYn1IFDPWt_1FKiwhDph83XaGc0o0/edit?usp=sharing"",""งบพรบ!CT70"")"),112600)</f>
        <v>112600</v>
      </c>
      <c r="N186" s="90">
        <f ca="1">IFERROR(__xludf.DUMMYFUNCTION("IMPORTRANGE(""https://docs.google.com/spreadsheets/d/1MeEWN-I1oV_STSDYn1IFDPWt_1FKiwhDph83XaGc0o0/edit?usp=sharing"",""งบพรบ!CV70"")"),40565)</f>
        <v>40565</v>
      </c>
      <c r="O186" s="90">
        <f t="shared" ca="1" si="92"/>
        <v>19.483669548511045</v>
      </c>
      <c r="P186" s="90">
        <f t="shared" ca="1" si="93"/>
        <v>36.025754884547069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IFERROR(__xludf.DUMMYFUNCTION("IMPORTRANGE(""https://docs.google.com/spreadsheets/d/1MeEWN-I1oV_STSDYn1IFDPWt_1FKiwhDph83XaGc0o0/edit?usp=sharing"",""งบพรบ!CR70"")"),0)</f>
        <v>0</v>
      </c>
      <c r="M189" s="90">
        <f ca="1">IFERROR(__xludf.DUMMYFUNCTION("IMPORTRANGE(""https://docs.google.com/spreadsheets/d/1MeEWN-I1oV_STSDYn1IFDPWt_1FKiwhDph83XaGc0o0/edit?usp=sharing"",""งบพรบ!CU70"")"),0)</f>
        <v>0</v>
      </c>
      <c r="N189" s="90">
        <f ca="1">IFERROR(__xludf.DUMMYFUNCTION("IMPORTRANGE(""https://docs.google.com/spreadsheets/d/1MeEWN-I1oV_STSDYn1IFDPWt_1FKiwhDph83XaGc0o0/edit?usp=sharing"",""งบพรบ!CW70"")"),0)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IFERROR(__xludf.DUMMYFUNCTION("IMPORTRANGE(""https://docs.google.com/spreadsheets/d/1QqKyyYR6Q21VydFLVH3TRQUabQu_ym0Zz7PgGX0-kHA/edit?usp=sharing"",""แผน!Z70"")"),6000)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IFERROR(__xludf.DUMMYFUNCTION("IMPORTRANGE(""https://docs.google.com/spreadsheets/d/1QqKyyYR6Q21VydFLVH3TRQUabQu_ym0Zz7PgGX0-kHA/edit?usp=sharing"",""แผน!AC70"")"),4)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3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39000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IFERROR(__xludf.DUMMYFUNCTION("IMPORTRANGE(""https://docs.google.com/spreadsheets/d/1QqKyyYR6Q21VydFLVH3TRQUabQu_ym0Zz7PgGX0-kHA/edit?usp=sharing"",""แผน!AE70"")"),3000)</f>
        <v>3000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IFERROR(__xludf.DUMMYFUNCTION("IMPORTRANGE(""https://docs.google.com/spreadsheets/d/1QqKyyYR6Q21VydFLVH3TRQUabQu_ym0Zz7PgGX0-kHA/edit?usp=sharing"",""แผน!AF70"")"),24000)</f>
        <v>24000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IFERROR(__xludf.DUMMYFUNCTION("IMPORTRANGE(""https://docs.google.com/spreadsheets/d/1QqKyyYR6Q21VydFLVH3TRQUabQu_ym0Zz7PgGX0-kHA/edit?usp=sharing"",""แผน!AG70"")"),12000)</f>
        <v>12000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IFERROR(__xludf.DUMMYFUNCTION("IMPORTRANGE(""https://docs.google.com/spreadsheets/d/1QqKyyYR6Q21VydFLVH3TRQUabQu_ym0Zz7PgGX0-kHA/edit?usp=sharing"",""แผน!AH70"")"),0)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IFERROR(__xludf.DUMMYFUNCTION("IMPORTRANGE(""https://docs.google.com/spreadsheets/d/1QqKyyYR6Q21VydFLVH3TRQUabQu_ym0Zz7PgGX0-kHA/edit?usp=sharing"",""แผน!AI70"")"),3)</f>
        <v>3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3</v>
      </c>
      <c r="J206" s="210">
        <v>0</v>
      </c>
      <c r="K206" s="159"/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/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99">I215</f>
        <v>0</v>
      </c>
      <c r="J208" s="266">
        <f t="shared" si="99"/>
        <v>0</v>
      </c>
      <c r="K208" s="267">
        <f ca="1">IF(I208&gt;0,J208*100/I208,0)</f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IFERROR(__xludf.DUMMYFUNCTION("IMPORTRANGE(""https://docs.google.com/spreadsheets/d/1QqKyyYR6Q21VydFLVH3TRQUabQu_ym0Zz7PgGX0-kHA/edit?usp=sharing"",""แผน!AK70"")"),0)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IFERROR(__xludf.DUMMYFUNCTION("IMPORTRANGE(""https://docs.google.com/spreadsheets/d/1QqKyyYR6Q21VydFLVH3TRQUabQu_ym0Zz7PgGX0-kHA/edit?usp=sharing"",""แผน!AL70"")"),0)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IFERROR(__xludf.DUMMYFUNCTION("IMPORTRANGE(""https://docs.google.com/spreadsheets/d/1QqKyyYR6Q21VydFLVH3TRQUabQu_ym0Zz7PgGX0-kHA/edit?usp=sharing"",""แผน!AM70"")"),0)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IFERROR(__xludf.DUMMYFUNCTION("IMPORTRANGE(""https://docs.google.com/spreadsheets/d/1QqKyyYR6Q21VydFLVH3TRQUabQu_ym0Zz7PgGX0-kHA/edit?usp=sharing"",""แผน!AN70"")"),0)</f>
        <v>0</v>
      </c>
      <c r="J214" s="210">
        <v>0</v>
      </c>
      <c r="K214" s="495">
        <f t="shared" ref="K214:K216" ca="1" si="100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IFERROR(__xludf.DUMMYFUNCTION("IMPORTRANGE(""https://docs.google.com/spreadsheets/d/1QqKyyYR6Q21VydFLVH3TRQUabQu_ym0Zz7PgGX0-kHA/edit?usp=sharing"",""แผน!AN70"")"),0)</f>
        <v>0</v>
      </c>
      <c r="J215" s="210">
        <v>0</v>
      </c>
      <c r="K215" s="495">
        <f t="shared" ca="1" si="100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1">I224</f>
        <v>20000</v>
      </c>
      <c r="J216" s="266">
        <f t="shared" si="101"/>
        <v>0</v>
      </c>
      <c r="K216" s="267">
        <f t="shared" ca="1" si="100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18000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IFERROR(__xludf.DUMMYFUNCTION("IMPORTRANGE(""https://docs.google.com/spreadsheets/d/1QqKyyYR6Q21VydFLVH3TRQUabQu_ym0Zz7PgGX0-kHA/edit?usp=sharing"",""แผน!AP70"")"),3000)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IFERROR(__xludf.DUMMYFUNCTION("IMPORTRANGE(""https://docs.google.com/spreadsheets/d/1QqKyyYR6Q21VydFLVH3TRQUabQu_ym0Zz7PgGX0-kHA/edit?usp=sharing"",""แผน!AQ70"")"),5000)</f>
        <v>5000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IFERROR(__xludf.DUMMYFUNCTION("IMPORTRANGE(""https://docs.google.com/spreadsheets/d/1QqKyyYR6Q21VydFLVH3TRQUabQu_ym0Zz7PgGX0-kHA/edit?usp=sharing"",""แผน!AR70"")"),10000)</f>
        <v>10000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IFERROR(__xludf.DUMMYFUNCTION("IMPORTRANGE(""https://docs.google.com/spreadsheets/d/1QqKyyYR6Q21VydFLVH3TRQUabQu_ym0Zz7PgGX0-kHA/edit?usp=sharing"",""แผน!AT70"")"),20000)</f>
        <v>20000</v>
      </c>
      <c r="J223" s="210">
        <v>0</v>
      </c>
      <c r="K223" s="159">
        <f t="shared" ref="K223:K226" ca="1" si="102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IFERROR(__xludf.DUMMYFUNCTION("IMPORTRANGE(""https://docs.google.com/spreadsheets/d/1QqKyyYR6Q21VydFLVH3TRQUabQu_ym0Zz7PgGX0-kHA/edit?usp=sharing"",""แผน!AT70"")"),20000)</f>
        <v>20000</v>
      </c>
      <c r="J224" s="210">
        <v>0</v>
      </c>
      <c r="K224" s="159">
        <f t="shared" ca="1" si="102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IFERROR(__xludf.DUMMYFUNCTION("IMPORTRANGE(""https://docs.google.com/spreadsheets/d/1QqKyyYR6Q21VydFLVH3TRQUabQu_ym0Zz7PgGX0-kHA/edit?usp=sharing"",""แผน!AS70"")"),10)</f>
        <v>10</v>
      </c>
      <c r="J225" s="210">
        <v>0</v>
      </c>
      <c r="K225" s="159">
        <f t="shared" ca="1" si="102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3">I237+I248</f>
        <v>#VALUE!</v>
      </c>
      <c r="J226" s="340">
        <f t="shared" si="103"/>
        <v>0</v>
      </c>
      <c r="K226" s="341" t="e">
        <f t="shared" ca="1" si="102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4">L238+L249</f>
        <v>0</v>
      </c>
      <c r="M227" s="351"/>
      <c r="N227" s="351">
        <f t="shared" ref="N227:N231" si="105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4"/>
        <v>0</v>
      </c>
      <c r="M228" s="90"/>
      <c r="N228" s="90">
        <f t="shared" si="105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4"/>
        <v>0</v>
      </c>
      <c r="M229" s="90"/>
      <c r="N229" s="90">
        <f t="shared" si="105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4"/>
        <v>0</v>
      </c>
      <c r="M230" s="90"/>
      <c r="N230" s="90">
        <f t="shared" si="105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4"/>
        <v>0</v>
      </c>
      <c r="M231" s="90"/>
      <c r="N231" s="90">
        <f t="shared" si="105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6">I244+I255</f>
        <v>#VALUE!</v>
      </c>
      <c r="J233" s="609">
        <f t="shared" si="106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7">I246+I257</f>
        <v>0</v>
      </c>
      <c r="J235" s="609">
        <f t="shared" si="107"/>
        <v>0</v>
      </c>
      <c r="K235" s="90">
        <f t="shared" ref="K235:K237" si="108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7"/>
        <v>0</v>
      </c>
      <c r="J236" s="609">
        <f t="shared" si="107"/>
        <v>0</v>
      </c>
      <c r="K236" s="90">
        <f t="shared" si="108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09">I244</f>
        <v>0</v>
      </c>
      <c r="J237" s="266">
        <f t="shared" si="109"/>
        <v>0</v>
      </c>
      <c r="K237" s="267">
        <f t="shared" ca="1" si="108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IFERROR(__xludf.DUMMYFUNCTION("IMPORTRANGE(""https://docs.google.com/spreadsheets/d/1QqKyyYR6Q21VydFLVH3TRQUabQu_ym0Zz7PgGX0-kHA/edit?usp=sharing"",""แผน!AV70"")"),0)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IFERROR(__xludf.DUMMYFUNCTION("IMPORTRANGE(""https://docs.google.com/spreadsheets/d/1QqKyyYR6Q21VydFLVH3TRQUabQu_ym0Zz7PgGX0-kHA/edit?usp=sharing"",""แผน!AW70"")"),0)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IFERROR(__xludf.DUMMYFUNCTION("IMPORTRANGE(""https://docs.google.com/spreadsheets/d/1QqKyyYR6Q21VydFLVH3TRQUabQu_ym0Zz7PgGX0-kHA/edit?usp=sharing"",""แผน!AX70"")"),0)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IFERROR(__xludf.DUMMYFUNCTION("IMPORTRANGE(""https://docs.google.com/spreadsheets/d/1QqKyyYR6Q21VydFLVH3TRQUabQu_ym0Zz7PgGX0-kHA/edit?usp=sharing"",""แผน!AY70"")"),0)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IFERROR(__xludf.DUMMYFUNCTION("IMPORTRANGE(""https://docs.google.com/spreadsheets/d/1QqKyyYR6Q21VydFLVH3TRQUabQu_ym0Zz7PgGX0-kHA/edit?usp=sharing"",""แผน!BE70"")"),0)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0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0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1">I255</f>
        <v/>
      </c>
      <c r="J248" s="266">
        <f t="shared" si="111"/>
        <v>0</v>
      </c>
      <c r="K248" s="267" t="e">
        <f t="shared" ca="1" si="110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IFERROR(__xludf.DUMMYFUNCTION("IMPORTRANGE(""https://docs.google.com/spreadsheets/d/1QqKyyYR6Q21VydFLVH3TRQUabQu_ym0Zz7PgGX0-kHA/edit?usp=sharing"",""แผน!AZ70"")"),0)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IFERROR(__xludf.DUMMYFUNCTION("IMPORTRANGE(""https://docs.google.com/spreadsheets/d/1QqKyyYR6Q21VydFLVH3TRQUabQu_ym0Zz7PgGX0-kHA/edit?usp=sharing"",""แผน!BA70"")"),0)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IFERROR(__xludf.DUMMYFUNCTION("IMPORTRANGE(""https://docs.google.com/spreadsheets/d/1QqKyyYR6Q21VydFLVH3TRQUabQu_ym0Zz7PgGX0-kHA/edit?usp=sharing"",""แผน!BB70"")"),0)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IFERROR(__xludf.DUMMYFUNCTION("IMPORTRANGE(""https://docs.google.com/spreadsheets/d/1QqKyyYR6Q21VydFLVH3TRQUabQu_ym0Zz7PgGX0-kHA/edit?usp=sharing"",""แผน!BC70"")"),0)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IFERROR(__xludf.DUMMYFUNCTION("IMPORTRANGE(""https://docs.google.com/spreadsheets/d/1QqKyyYR6Q21VydFLVH3TRQUabQu_ym0Zz7PgGX0-kHA/edit?usp=sharing"",""แผน!BF70"")"),"")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2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2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3">I271</f>
        <v>22</v>
      </c>
      <c r="J260" s="371">
        <f t="shared" si="113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4">L262+L263</f>
        <v>26900</v>
      </c>
      <c r="M261" s="151">
        <f t="shared" ca="1" si="114"/>
        <v>0</v>
      </c>
      <c r="N261" s="151">
        <f t="shared" ca="1" si="114"/>
        <v>0</v>
      </c>
      <c r="O261" s="151">
        <f t="shared" ref="O261:O269" ca="1" si="115">IF(L261&gt;0,N261*100/L261,0)</f>
        <v>0</v>
      </c>
      <c r="P261" s="151">
        <f t="shared" ref="P261:P269" ca="1" si="116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7">L265+L268</f>
        <v>0</v>
      </c>
      <c r="M262" s="90">
        <f t="shared" si="117"/>
        <v>0</v>
      </c>
      <c r="N262" s="90">
        <f t="shared" si="117"/>
        <v>0</v>
      </c>
      <c r="O262" s="90">
        <f t="shared" si="115"/>
        <v>0</v>
      </c>
      <c r="P262" s="90">
        <f t="shared" si="116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7"/>
        <v>26900</v>
      </c>
      <c r="M263" s="90">
        <f t="shared" ca="1" si="117"/>
        <v>0</v>
      </c>
      <c r="N263" s="90">
        <f t="shared" ca="1" si="117"/>
        <v>0</v>
      </c>
      <c r="O263" s="90">
        <f t="shared" ca="1" si="115"/>
        <v>0</v>
      </c>
      <c r="P263" s="90">
        <f t="shared" ca="1" si="116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8">L265+L266</f>
        <v>26900</v>
      </c>
      <c r="M264" s="495">
        <f t="shared" ca="1" si="118"/>
        <v>0</v>
      </c>
      <c r="N264" s="495">
        <f t="shared" ca="1" si="118"/>
        <v>0</v>
      </c>
      <c r="O264" s="495">
        <f t="shared" ca="1" si="115"/>
        <v>0</v>
      </c>
      <c r="P264" s="495">
        <f t="shared" ca="1" si="116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5"/>
        <v>0</v>
      </c>
      <c r="P265" s="90">
        <f t="shared" si="116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IFERROR(__xludf.DUMMYFUNCTION("IMPORTRANGE(""https://docs.google.com/spreadsheets/d/1MeEWN-I1oV_STSDYn1IFDPWt_1FKiwhDph83XaGc0o0/edit?usp=sharing"",""งบพรบ!CY70"")"),26900)</f>
        <v>26900</v>
      </c>
      <c r="M266" s="90">
        <f ca="1">IFERROR(__xludf.DUMMYFUNCTION("IMPORTRANGE(""https://docs.google.com/spreadsheets/d/1MeEWN-I1oV_STSDYn1IFDPWt_1FKiwhDph83XaGc0o0/edit?usp=sharing"",""งบพรบ!DD70"")"),0)</f>
        <v>0</v>
      </c>
      <c r="N266" s="90">
        <f ca="1">IFERROR(__xludf.DUMMYFUNCTION("IMPORTRANGE(""https://docs.google.com/spreadsheets/d/1MeEWN-I1oV_STSDYn1IFDPWt_1FKiwhDph83XaGc0o0/edit?usp=sharing"",""งบพรบ!DF70"")"),0)</f>
        <v>0</v>
      </c>
      <c r="O266" s="90">
        <f t="shared" ca="1" si="115"/>
        <v>0</v>
      </c>
      <c r="P266" s="90">
        <f t="shared" ca="1" si="116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19">L268+L269</f>
        <v>0</v>
      </c>
      <c r="M267" s="495">
        <f t="shared" ca="1" si="119"/>
        <v>0</v>
      </c>
      <c r="N267" s="495">
        <f t="shared" ca="1" si="119"/>
        <v>0</v>
      </c>
      <c r="O267" s="495">
        <f t="shared" ca="1" si="115"/>
        <v>0</v>
      </c>
      <c r="P267" s="495">
        <f t="shared" ca="1" si="116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5"/>
        <v>0</v>
      </c>
      <c r="P268" s="90">
        <f t="shared" si="116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IFERROR(__xludf.DUMMYFUNCTION("IMPORTRANGE(""https://docs.google.com/spreadsheets/d/1MeEWN-I1oV_STSDYn1IFDPWt_1FKiwhDph83XaGc0o0/edit?usp=sharing"",""งบพรบ!DB70"")"),0)</f>
        <v>0</v>
      </c>
      <c r="M269" s="90">
        <f ca="1">IFERROR(__xludf.DUMMYFUNCTION("IMPORTRANGE(""https://docs.google.com/spreadsheets/d/1MeEWN-I1oV_STSDYn1IFDPWt_1FKiwhDph83XaGc0o0/edit?usp=sharing"",""งบพรบ!DE70"")"),0)</f>
        <v>0</v>
      </c>
      <c r="N269" s="90">
        <f ca="1">IFERROR(__xludf.DUMMYFUNCTION("IMPORTRANGE(""https://docs.google.com/spreadsheets/d/1MeEWN-I1oV_STSDYn1IFDPWt_1FKiwhDph83XaGc0o0/edit?usp=sharing"",""งบพรบ!DG70"")"),0)</f>
        <v>0</v>
      </c>
      <c r="O269" s="90">
        <f t="shared" ca="1" si="115"/>
        <v>0</v>
      </c>
      <c r="P269" s="90">
        <f t="shared" ca="1" si="116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IFERROR(__xludf.DUMMYFUNCTION("IMPORTRANGE(""https://docs.google.com/spreadsheets/d/1QqKyyYR6Q21VydFLVH3TRQUabQu_ym0Zz7PgGX0-kHA/edit?usp=sharing"",""แผน!EA70"")"),22)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0">I288</f>
        <v>0</v>
      </c>
      <c r="J275" s="403">
        <f t="shared" ca="1" si="120"/>
        <v>0</v>
      </c>
      <c r="K275" s="404">
        <f t="shared" ref="K275:K276" ca="1" si="121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2">I287</f>
        <v>0</v>
      </c>
      <c r="J276" s="407">
        <f t="shared" si="122"/>
        <v>0</v>
      </c>
      <c r="K276" s="405">
        <f t="shared" ca="1" si="121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3">L278+L279</f>
        <v>0</v>
      </c>
      <c r="M277" s="151">
        <f t="shared" ca="1" si="123"/>
        <v>0</v>
      </c>
      <c r="N277" s="151">
        <f t="shared" ca="1" si="123"/>
        <v>0</v>
      </c>
      <c r="O277" s="151">
        <f t="shared" ref="O277:O285" ca="1" si="124">IF(L277&gt;0,N277*100/L277,0)</f>
        <v>0</v>
      </c>
      <c r="P277" s="151">
        <f t="shared" ref="P277:P285" ca="1" si="125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6">L281+L284</f>
        <v>0</v>
      </c>
      <c r="M278" s="90">
        <f t="shared" si="126"/>
        <v>0</v>
      </c>
      <c r="N278" s="90">
        <f t="shared" si="126"/>
        <v>0</v>
      </c>
      <c r="O278" s="90">
        <f t="shared" si="124"/>
        <v>0</v>
      </c>
      <c r="P278" s="90">
        <f t="shared" si="125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6"/>
        <v>0</v>
      </c>
      <c r="M279" s="90">
        <f t="shared" ca="1" si="126"/>
        <v>0</v>
      </c>
      <c r="N279" s="90">
        <f t="shared" ca="1" si="126"/>
        <v>0</v>
      </c>
      <c r="O279" s="90">
        <f t="shared" ca="1" si="124"/>
        <v>0</v>
      </c>
      <c r="P279" s="90">
        <f t="shared" ca="1" si="125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7">L281+L282</f>
        <v>0</v>
      </c>
      <c r="M280" s="495">
        <f t="shared" ca="1" si="127"/>
        <v>0</v>
      </c>
      <c r="N280" s="495">
        <f t="shared" ca="1" si="127"/>
        <v>0</v>
      </c>
      <c r="O280" s="495">
        <f t="shared" ca="1" si="124"/>
        <v>0</v>
      </c>
      <c r="P280" s="495">
        <f t="shared" ca="1" si="125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4"/>
        <v>0</v>
      </c>
      <c r="P281" s="90">
        <f t="shared" si="125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IFERROR(__xludf.DUMMYFUNCTION("IMPORTRANGE(""https://docs.google.com/spreadsheets/d/1MeEWN-I1oV_STSDYn1IFDPWt_1FKiwhDph83XaGc0o0/edit?usp=sharing"",""งบพรบ!DI70"")"),0)</f>
        <v>0</v>
      </c>
      <c r="M282" s="90">
        <f ca="1">IFERROR(__xludf.DUMMYFUNCTION("IMPORTRANGE(""https://docs.google.com/spreadsheets/d/1MeEWN-I1oV_STSDYn1IFDPWt_1FKiwhDph83XaGc0o0/edit?usp=sharing"",""งบพรบ!DN70"")"),0)</f>
        <v>0</v>
      </c>
      <c r="N282" s="90">
        <f ca="1">IFERROR(__xludf.DUMMYFUNCTION("IMPORTRANGE(""https://docs.google.com/spreadsheets/d/1MeEWN-I1oV_STSDYn1IFDPWt_1FKiwhDph83XaGc0o0/edit?usp=sharing"",""งบพรบ!DP70"")"),0)</f>
        <v>0</v>
      </c>
      <c r="O282" s="90">
        <f t="shared" ca="1" si="124"/>
        <v>0</v>
      </c>
      <c r="P282" s="90">
        <f t="shared" ca="1" si="125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8">L284+L285</f>
        <v>0</v>
      </c>
      <c r="M283" s="495">
        <f t="shared" ca="1" si="128"/>
        <v>0</v>
      </c>
      <c r="N283" s="495">
        <f t="shared" ca="1" si="128"/>
        <v>0</v>
      </c>
      <c r="O283" s="495">
        <f t="shared" ca="1" si="124"/>
        <v>0</v>
      </c>
      <c r="P283" s="495">
        <f t="shared" ca="1" si="125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4"/>
        <v>0</v>
      </c>
      <c r="P284" s="90">
        <f t="shared" si="125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IFERROR(__xludf.DUMMYFUNCTION("IMPORTRANGE(""https://docs.google.com/spreadsheets/d/1MeEWN-I1oV_STSDYn1IFDPWt_1FKiwhDph83XaGc0o0/edit?usp=sharing"",""งบพรบ!DL70"")"),0)</f>
        <v>0</v>
      </c>
      <c r="M285" s="90">
        <f ca="1">IFERROR(__xludf.DUMMYFUNCTION("IMPORTRANGE(""https://docs.google.com/spreadsheets/d/1MeEWN-I1oV_STSDYn1IFDPWt_1FKiwhDph83XaGc0o0/edit?usp=sharing"",""งบพรบ!DO70"")"),0)</f>
        <v>0</v>
      </c>
      <c r="N285" s="90">
        <f ca="1">IFERROR(__xludf.DUMMYFUNCTION("IMPORTRANGE(""https://docs.google.com/spreadsheets/d/1MeEWN-I1oV_STSDYn1IFDPWt_1FKiwhDph83XaGc0o0/edit?usp=sharing"",""งบพรบ!DQ70"")"),0)</f>
        <v>0</v>
      </c>
      <c r="O285" s="90">
        <f t="shared" ca="1" si="124"/>
        <v>0</v>
      </c>
      <c r="P285" s="90">
        <f t="shared" ca="1" si="125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IFERROR(__xludf.DUMMYFUNCTION("IMPORTRANGE(""https://docs.google.com/spreadsheets/d/1QqKyyYR6Q21VydFLVH3TRQUabQu_ym0Zz7PgGX0-kHA/edit?usp=sharing"",""แผน!EC70"")"),0)</f>
        <v>0</v>
      </c>
      <c r="J287" s="264">
        <v>0</v>
      </c>
      <c r="K287" s="159">
        <f t="shared" ref="K287:K288" ca="1" si="129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IFERROR(__xludf.DUMMYFUNCTION("IMPORTRANGE(""https://docs.google.com/spreadsheets/d/1QqKyyYR6Q21VydFLVH3TRQUabQu_ym0Zz7PgGX0-kHA/edit?usp=sharing"",""แผน!EB70"")"),0)</f>
        <v>0</v>
      </c>
      <c r="J288" s="673">
        <f ca="1">IF(AND(J291&gt;=I288,J294&gt;=I288),J294,0)</f>
        <v>0</v>
      </c>
      <c r="K288" s="409">
        <f t="shared" ca="1" si="129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IFERROR(__xludf.DUMMYFUNCTION("IMPORTRANGE(""https://docs.google.com/spreadsheets/d/1QqKyyYR6Q21VydFLVH3TRQUabQu_ym0Zz7PgGX0-kHA/edit?usp=sharing"",""แผน!EB70"")"),0)</f>
        <v>0</v>
      </c>
      <c r="J290" s="210">
        <v>0</v>
      </c>
      <c r="K290" s="159">
        <f t="shared" ref="K290:K291" ca="1" si="130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IFERROR(__xludf.DUMMYFUNCTION("IMPORTRANGE(""https://docs.google.com/spreadsheets/d/1QqKyyYR6Q21VydFLVH3TRQUabQu_ym0Zz7PgGX0-kHA/edit?usp=sharing"",""แผน!EB70"")"),0)</f>
        <v>0</v>
      </c>
      <c r="J291" s="210">
        <v>0</v>
      </c>
      <c r="K291" s="159">
        <f t="shared" ca="1" si="130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IFERROR(__xludf.DUMMYFUNCTION("IMPORTRANGE(""https://docs.google.com/spreadsheets/d/1QqKyyYR6Q21VydFLVH3TRQUabQu_ym0Zz7PgGX0-kHA/edit?usp=sharing"",""แผน!EB70"")"),0)</f>
        <v>0</v>
      </c>
      <c r="J293" s="210">
        <v>0</v>
      </c>
      <c r="K293" s="159">
        <f t="shared" ref="K293:K294" ca="1" si="131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IFERROR(__xludf.DUMMYFUNCTION("IMPORTRANGE(""https://docs.google.com/spreadsheets/d/1QqKyyYR6Q21VydFLVH3TRQUabQu_ym0Zz7PgGX0-kHA/edit?usp=sharing"",""แผน!EB70"")"),0)</f>
        <v>0</v>
      </c>
      <c r="J294" s="422">
        <v>0</v>
      </c>
      <c r="K294" s="382">
        <f t="shared" ca="1" si="131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2">I309</f>
        <v>25</v>
      </c>
      <c r="J297" s="442">
        <f t="shared" si="132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3">L299+L300</f>
        <v>244000</v>
      </c>
      <c r="M298" s="151">
        <f t="shared" ca="1" si="133"/>
        <v>125400</v>
      </c>
      <c r="N298" s="151">
        <f t="shared" ca="1" si="133"/>
        <v>13000</v>
      </c>
      <c r="O298" s="151">
        <f t="shared" ref="O298:O306" ca="1" si="134">IF(L298&gt;0,N298*100/L298,0)</f>
        <v>5.3278688524590168</v>
      </c>
      <c r="P298" s="151">
        <f t="shared" ref="P298:P306" ca="1" si="135">IF(M298&gt;0,N298*100/M298,0)</f>
        <v>10.36682615629984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6">L302+L305</f>
        <v>0</v>
      </c>
      <c r="M299" s="90">
        <f t="shared" si="136"/>
        <v>0</v>
      </c>
      <c r="N299" s="90">
        <f t="shared" si="136"/>
        <v>0</v>
      </c>
      <c r="O299" s="90">
        <f t="shared" si="134"/>
        <v>0</v>
      </c>
      <c r="P299" s="90">
        <f t="shared" si="135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6"/>
        <v>244000</v>
      </c>
      <c r="M300" s="90">
        <f t="shared" ca="1" si="136"/>
        <v>125400</v>
      </c>
      <c r="N300" s="90">
        <f t="shared" ca="1" si="136"/>
        <v>13000</v>
      </c>
      <c r="O300" s="90">
        <f t="shared" ca="1" si="134"/>
        <v>5.3278688524590168</v>
      </c>
      <c r="P300" s="90">
        <f t="shared" ca="1" si="135"/>
        <v>10.36682615629984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7">L302+L303</f>
        <v>244000</v>
      </c>
      <c r="M301" s="495">
        <f t="shared" ca="1" si="137"/>
        <v>125400</v>
      </c>
      <c r="N301" s="495">
        <f t="shared" ca="1" si="137"/>
        <v>13000</v>
      </c>
      <c r="O301" s="495">
        <f t="shared" ca="1" si="134"/>
        <v>5.3278688524590168</v>
      </c>
      <c r="P301" s="495">
        <f t="shared" ca="1" si="135"/>
        <v>10.36682615629984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4"/>
        <v>0</v>
      </c>
      <c r="P302" s="90">
        <f t="shared" si="135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IFERROR(__xludf.DUMMYFUNCTION("IMPORTRANGE(""https://docs.google.com/spreadsheets/d/1MeEWN-I1oV_STSDYn1IFDPWt_1FKiwhDph83XaGc0o0/edit?usp=sharing"",""งบพรบ!DS70"")"),244000)</f>
        <v>244000</v>
      </c>
      <c r="M303" s="90">
        <f ca="1">IFERROR(__xludf.DUMMYFUNCTION("IMPORTRANGE(""https://docs.google.com/spreadsheets/d/1MeEWN-I1oV_STSDYn1IFDPWt_1FKiwhDph83XaGc0o0/edit?usp=sharing"",""งบพรบ!DX70"")"),125400)</f>
        <v>125400</v>
      </c>
      <c r="N303" s="90">
        <f ca="1">IFERROR(__xludf.DUMMYFUNCTION("IMPORTRANGE(""https://docs.google.com/spreadsheets/d/1MeEWN-I1oV_STSDYn1IFDPWt_1FKiwhDph83XaGc0o0/edit?usp=sharing"",""งบพรบ!DZ70"")"),13000)</f>
        <v>13000</v>
      </c>
      <c r="O303" s="90">
        <f t="shared" ca="1" si="134"/>
        <v>5.3278688524590168</v>
      </c>
      <c r="P303" s="90">
        <f t="shared" ca="1" si="135"/>
        <v>10.36682615629984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8">L305+L306</f>
        <v>0</v>
      </c>
      <c r="M304" s="495">
        <f t="shared" ca="1" si="138"/>
        <v>0</v>
      </c>
      <c r="N304" s="495">
        <f t="shared" ca="1" si="138"/>
        <v>0</v>
      </c>
      <c r="O304" s="495">
        <f t="shared" ca="1" si="134"/>
        <v>0</v>
      </c>
      <c r="P304" s="495">
        <f t="shared" ca="1" si="135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4"/>
        <v>0</v>
      </c>
      <c r="P305" s="90">
        <f t="shared" si="135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IFERROR(__xludf.DUMMYFUNCTION("IMPORTRANGE(""https://docs.google.com/spreadsheets/d/1MeEWN-I1oV_STSDYn1IFDPWt_1FKiwhDph83XaGc0o0/edit?usp=sharing"",""งบพรบ!DV70"")"),0)</f>
        <v>0</v>
      </c>
      <c r="M306" s="90">
        <f ca="1">IFERROR(__xludf.DUMMYFUNCTION("IMPORTRANGE(""https://docs.google.com/spreadsheets/d/1MeEWN-I1oV_STSDYn1IFDPWt_1FKiwhDph83XaGc0o0/edit?usp=sharing"",""งบพรบ!DY70"")"),0)</f>
        <v>0</v>
      </c>
      <c r="N306" s="90">
        <f ca="1">IFERROR(__xludf.DUMMYFUNCTION("IMPORTRANGE(""https://docs.google.com/spreadsheets/d/1MeEWN-I1oV_STSDYn1IFDPWt_1FKiwhDph83XaGc0o0/edit?usp=sharing"",""งบพรบ!EA70"")"),0)</f>
        <v>0</v>
      </c>
      <c r="O306" s="90">
        <f t="shared" ca="1" si="134"/>
        <v>0</v>
      </c>
      <c r="P306" s="90">
        <f t="shared" ca="1" si="135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IFERROR(__xludf.DUMMYFUNCTION("IMPORTRANGE(""https://docs.google.com/spreadsheets/d/1QqKyyYR6Q21VydFLVH3TRQUabQu_ym0Zz7PgGX0-kHA/edit?usp=sharing"",""แผน!ED70"")"),25)</f>
        <v>25</v>
      </c>
      <c r="J309" s="210">
        <v>0</v>
      </c>
      <c r="K309" s="495">
        <f t="shared" ref="K309:K312" ca="1" si="139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IFERROR(__xludf.DUMMYFUNCTION("IMPORTRANGE(""https://docs.google.com/spreadsheets/d/1QqKyyYR6Q21VydFLVH3TRQUabQu_ym0Zz7PgGX0-kHA/edit?usp=sharing"",""แผน!ED70"")"),25)</f>
        <v>25</v>
      </c>
      <c r="J310" s="210">
        <v>0</v>
      </c>
      <c r="K310" s="495">
        <f t="shared" ca="1" si="139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IFERROR(__xludf.DUMMYFUNCTION("IMPORTRANGE(""https://docs.google.com/spreadsheets/d/1QqKyyYR6Q21VydFLVH3TRQUabQu_ym0Zz7PgGX0-kHA/edit?usp=sharing"",""แผน!ED70"")"),25)</f>
        <v>25</v>
      </c>
      <c r="J311" s="210">
        <v>0</v>
      </c>
      <c r="K311" s="495">
        <f t="shared" ca="1" si="139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IFERROR(__xludf.DUMMYFUNCTION("IMPORTRANGE(""https://docs.google.com/spreadsheets/d/1QqKyyYR6Q21VydFLVH3TRQUabQu_ym0Zz7PgGX0-kHA/edit?usp=sharing"",""แผน!EE70"")"),5)</f>
        <v>5</v>
      </c>
      <c r="J312" s="210">
        <v>0</v>
      </c>
      <c r="K312" s="495">
        <f t="shared" ca="1" si="139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0">I325</f>
        <v>0</v>
      </c>
      <c r="J314" s="442">
        <f t="shared" si="140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1">L316+L317</f>
        <v>0</v>
      </c>
      <c r="M315" s="151">
        <f t="shared" ca="1" si="141"/>
        <v>0</v>
      </c>
      <c r="N315" s="151">
        <f t="shared" ca="1" si="141"/>
        <v>0</v>
      </c>
      <c r="O315" s="151">
        <f t="shared" ref="O315:O323" ca="1" si="142">IF(L315&gt;0,N315*100/L315,0)</f>
        <v>0</v>
      </c>
      <c r="P315" s="151">
        <f t="shared" ref="P315:P323" ca="1" si="143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4">L319+L322</f>
        <v>0</v>
      </c>
      <c r="M316" s="90">
        <f t="shared" si="144"/>
        <v>0</v>
      </c>
      <c r="N316" s="90">
        <f t="shared" si="144"/>
        <v>0</v>
      </c>
      <c r="O316" s="90">
        <f t="shared" si="142"/>
        <v>0</v>
      </c>
      <c r="P316" s="90">
        <f t="shared" si="143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4"/>
        <v>0</v>
      </c>
      <c r="M317" s="90">
        <f t="shared" ca="1" si="144"/>
        <v>0</v>
      </c>
      <c r="N317" s="90">
        <f t="shared" ca="1" si="144"/>
        <v>0</v>
      </c>
      <c r="O317" s="90">
        <f t="shared" ca="1" si="142"/>
        <v>0</v>
      </c>
      <c r="P317" s="90">
        <f t="shared" ca="1" si="143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5">L319+L320</f>
        <v>0</v>
      </c>
      <c r="M318" s="495">
        <f t="shared" ca="1" si="145"/>
        <v>0</v>
      </c>
      <c r="N318" s="495">
        <f t="shared" ca="1" si="145"/>
        <v>0</v>
      </c>
      <c r="O318" s="495">
        <f t="shared" ca="1" si="142"/>
        <v>0</v>
      </c>
      <c r="P318" s="495">
        <f t="shared" ca="1" si="143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2"/>
        <v>0</v>
      </c>
      <c r="P319" s="90">
        <f t="shared" si="143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IFERROR(__xludf.DUMMYFUNCTION("IMPORTRANGE(""https://docs.google.com/spreadsheets/d/1MeEWN-I1oV_STSDYn1IFDPWt_1FKiwhDph83XaGc0o0/edit?usp=sharing"",""งบพรบ!EC70"")"),0)</f>
        <v>0</v>
      </c>
      <c r="M320" s="90">
        <f ca="1">IFERROR(__xludf.DUMMYFUNCTION("IMPORTRANGE(""https://docs.google.com/spreadsheets/d/1MeEWN-I1oV_STSDYn1IFDPWt_1FKiwhDph83XaGc0o0/edit?usp=sharing"",""งบพรบ!EH70"")"),0)</f>
        <v>0</v>
      </c>
      <c r="N320" s="90">
        <f ca="1">IFERROR(__xludf.DUMMYFUNCTION("IMPORTRANGE(""https://docs.google.com/spreadsheets/d/1MeEWN-I1oV_STSDYn1IFDPWt_1FKiwhDph83XaGc0o0/edit?usp=sharing"",""งบพรบ!EJ70"")"),0)</f>
        <v>0</v>
      </c>
      <c r="O320" s="90">
        <f t="shared" ca="1" si="142"/>
        <v>0</v>
      </c>
      <c r="P320" s="90">
        <f t="shared" ca="1" si="143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6">L322+L323</f>
        <v>0</v>
      </c>
      <c r="M321" s="495">
        <f t="shared" ca="1" si="146"/>
        <v>0</v>
      </c>
      <c r="N321" s="495">
        <f t="shared" ca="1" si="146"/>
        <v>0</v>
      </c>
      <c r="O321" s="495">
        <f t="shared" ca="1" si="142"/>
        <v>0</v>
      </c>
      <c r="P321" s="495">
        <f t="shared" ca="1" si="143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2"/>
        <v>0</v>
      </c>
      <c r="P322" s="90">
        <f t="shared" si="143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IFERROR(__xludf.DUMMYFUNCTION("IMPORTRANGE(""https://docs.google.com/spreadsheets/d/1MeEWN-I1oV_STSDYn1IFDPWt_1FKiwhDph83XaGc0o0/edit?usp=sharing"",""งบพรบ!EF70"")"),0)</f>
        <v>0</v>
      </c>
      <c r="M323" s="90">
        <f ca="1">IFERROR(__xludf.DUMMYFUNCTION("IMPORTRANGE(""https://docs.google.com/spreadsheets/d/1MeEWN-I1oV_STSDYn1IFDPWt_1FKiwhDph83XaGc0o0/edit?usp=sharing"",""งบพรบ!EI70"")"),0)</f>
        <v>0</v>
      </c>
      <c r="N323" s="90">
        <f ca="1">IFERROR(__xludf.DUMMYFUNCTION("IMPORTRANGE(""https://docs.google.com/spreadsheets/d/1MeEWN-I1oV_STSDYn1IFDPWt_1FKiwhDph83XaGc0o0/edit?usp=sharing"",""งบพรบ!EK70"")"),0)</f>
        <v>0</v>
      </c>
      <c r="O323" s="90">
        <f t="shared" ca="1" si="142"/>
        <v>0</v>
      </c>
      <c r="P323" s="90">
        <f t="shared" ca="1" si="143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IFERROR(__xludf.DUMMYFUNCTION("IMPORTRANGE(""https://docs.google.com/spreadsheets/d/1QqKyyYR6Q21VydFLVH3TRQUabQu_ym0Zz7PgGX0-kHA/edit?usp=sharing"",""แผน!EF70"")"),0)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IFERROR(__xludf.DUMMYFUNCTION("IMPORTRANGE(""https://docs.google.com/spreadsheets/d/1QqKyyYR6Q21VydFLVH3TRQUabQu_ym0Zz7PgGX0-kHA/edit?usp=sharing"",""แผน!EG70"")"),1500)</f>
        <v>1500</v>
      </c>
      <c r="J327" s="442">
        <f ca="1">J338+J341+J342+J343</f>
        <v>473</v>
      </c>
      <c r="K327" s="443">
        <f ca="1">IF(I327&gt;0,J327*100/I327,0)</f>
        <v>31.533333333333335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7">L329+L330</f>
        <v>426800</v>
      </c>
      <c r="M328" s="151">
        <f t="shared" ca="1" si="147"/>
        <v>213400</v>
      </c>
      <c r="N328" s="151">
        <f t="shared" ca="1" si="147"/>
        <v>40774</v>
      </c>
      <c r="O328" s="151">
        <f t="shared" ref="O328:O336" ca="1" si="148">IF(L328&gt;0,N328*100/L328,0)</f>
        <v>9.553420805998126</v>
      </c>
      <c r="P328" s="151">
        <f t="shared" ref="P328:P336" ca="1" si="149">IF(M328&gt;0,N328*100/M328,0)</f>
        <v>19.106841611996252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0">L332+L335</f>
        <v>0</v>
      </c>
      <c r="M329" s="90">
        <f t="shared" si="150"/>
        <v>0</v>
      </c>
      <c r="N329" s="90">
        <f t="shared" si="150"/>
        <v>0</v>
      </c>
      <c r="O329" s="90">
        <f t="shared" si="148"/>
        <v>0</v>
      </c>
      <c r="P329" s="90">
        <f t="shared" si="149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0"/>
        <v>426800</v>
      </c>
      <c r="M330" s="90">
        <f t="shared" ca="1" si="150"/>
        <v>213400</v>
      </c>
      <c r="N330" s="90">
        <f t="shared" ca="1" si="150"/>
        <v>40774</v>
      </c>
      <c r="O330" s="90">
        <f t="shared" ca="1" si="148"/>
        <v>9.553420805998126</v>
      </c>
      <c r="P330" s="90">
        <f t="shared" ca="1" si="149"/>
        <v>19.106841611996252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1">L332+L333</f>
        <v>426800</v>
      </c>
      <c r="M331" s="495">
        <f t="shared" ca="1" si="151"/>
        <v>213400</v>
      </c>
      <c r="N331" s="495">
        <f t="shared" ca="1" si="151"/>
        <v>40774</v>
      </c>
      <c r="O331" s="495">
        <f t="shared" ca="1" si="148"/>
        <v>9.553420805998126</v>
      </c>
      <c r="P331" s="495">
        <f t="shared" ca="1" si="149"/>
        <v>19.106841611996252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8"/>
        <v>0</v>
      </c>
      <c r="P332" s="90">
        <f t="shared" si="149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IFERROR(__xludf.DUMMYFUNCTION("IMPORTRANGE(""https://docs.google.com/spreadsheets/d/1MeEWN-I1oV_STSDYn1IFDPWt_1FKiwhDph83XaGc0o0/edit?usp=sharing"",""งบพรบ!EM70"")"),426800)</f>
        <v>426800</v>
      </c>
      <c r="M333" s="90">
        <f ca="1">IFERROR(__xludf.DUMMYFUNCTION("IMPORTRANGE(""https://docs.google.com/spreadsheets/d/1MeEWN-I1oV_STSDYn1IFDPWt_1FKiwhDph83XaGc0o0/edit?usp=sharing"",""งบพรบ!ER70"")"),213400)</f>
        <v>213400</v>
      </c>
      <c r="N333" s="90">
        <f ca="1">IFERROR(__xludf.DUMMYFUNCTION("IMPORTRANGE(""https://docs.google.com/spreadsheets/d/1MeEWN-I1oV_STSDYn1IFDPWt_1FKiwhDph83XaGc0o0/edit?usp=sharing"",""งบพรบ!ET70"")"),40774)</f>
        <v>40774</v>
      </c>
      <c r="O333" s="90">
        <f t="shared" ca="1" si="148"/>
        <v>9.553420805998126</v>
      </c>
      <c r="P333" s="90">
        <f t="shared" ca="1" si="149"/>
        <v>19.106841611996252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2">L335+L336</f>
        <v>0</v>
      </c>
      <c r="M334" s="495">
        <f t="shared" ca="1" si="152"/>
        <v>0</v>
      </c>
      <c r="N334" s="495">
        <f t="shared" ca="1" si="152"/>
        <v>0</v>
      </c>
      <c r="O334" s="495">
        <f t="shared" ca="1" si="148"/>
        <v>0</v>
      </c>
      <c r="P334" s="495">
        <f t="shared" ca="1" si="149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8"/>
        <v>0</v>
      </c>
      <c r="P335" s="90">
        <f t="shared" si="149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IFERROR(__xludf.DUMMYFUNCTION("IMPORTRANGE(""https://docs.google.com/spreadsheets/d/1MeEWN-I1oV_STSDYn1IFDPWt_1FKiwhDph83XaGc0o0/edit?usp=sharing"",""งบพรบ!EP70"")"),0)</f>
        <v>0</v>
      </c>
      <c r="M336" s="90">
        <f ca="1">IFERROR(__xludf.DUMMYFUNCTION("IMPORTRANGE(""https://docs.google.com/spreadsheets/d/1MeEWN-I1oV_STSDYn1IFDPWt_1FKiwhDph83XaGc0o0/edit?usp=sharing"",""งบพรบ!ES70"")"),0)</f>
        <v>0</v>
      </c>
      <c r="N336" s="90">
        <f ca="1">IFERROR(__xludf.DUMMYFUNCTION("IMPORTRANGE(""https://docs.google.com/spreadsheets/d/1MeEWN-I1oV_STSDYn1IFDPWt_1FKiwhDph83XaGc0o0/edit?usp=sharing"",""งบพรบ!EU70"")"),0)</f>
        <v>0</v>
      </c>
      <c r="O336" s="90">
        <f t="shared" ca="1" si="148"/>
        <v>0</v>
      </c>
      <c r="P336" s="90">
        <f t="shared" ca="1" si="149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IFERROR(__xludf.DUMMYFUNCTION("IMPORTRANGE(""https://docs.google.com/spreadsheets/d/1QqKyyYR6Q21VydFLVH3TRQUabQu_ym0Zz7PgGX0-kHA/edit?usp=sharing"",""แผน!EG70"")"),1500)</f>
        <v>1500</v>
      </c>
      <c r="J338" s="264">
        <f ca="1">IFERROR(__xludf.DUMMYFUNCTION("IMPORTRANGE(""https://docs.google.com/spreadsheets/d/1kVcqe37tkHyjCSG3S0O1AXqVkqjo8mSIZil3BcpIysc/edit?usp=sharing"",""ศูนย์!D70"")"),473)</f>
        <v>473</v>
      </c>
      <c r="K338" s="495">
        <f ca="1">IF(I338&gt;0,J338*100/I338,0)</f>
        <v>31.533333333333335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IFERROR(__xludf.DUMMYFUNCTION("IMPORTRANGE(""https://docs.google.com/spreadsheets/d/1QqKyyYR6Q21VydFLVH3TRQUabQu_ym0Zz7PgGX0-kHA/edit?usp=sharing"",""แผน!EH70"")"),3)</f>
        <v>3</v>
      </c>
      <c r="J340" s="264">
        <f ca="1">IFERROR(__xludf.DUMMYFUNCTION("IMPORTRANGE(""https://docs.google.com/spreadsheets/d/1kVcqe37tkHyjCSG3S0O1AXqVkqjo8mSIZil3BcpIysc/edit?usp=sharing"",""ศูนย์!E70"")"),0)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IFERROR(__xludf.DUMMYFUNCTION("IMPORTRANGE(""https://docs.google.com/spreadsheets/d/1kVcqe37tkHyjCSG3S0O1AXqVkqjo8mSIZil3BcpIysc/edit?usp=sharing"",""ศูนย์!F70"")"),0)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IFERROR(__xludf.DUMMYFUNCTION("IMPORTRANGE(""https://docs.google.com/spreadsheets/d/1kVcqe37tkHyjCSG3S0O1AXqVkqjo8mSIZil3BcpIysc/edit?usp=sharing"",""ศูนย์!G70"")"),0)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IFERROR(__xludf.DUMMYFUNCTION("IMPORTRANGE(""https://docs.google.com/spreadsheets/d/1kVcqe37tkHyjCSG3S0O1AXqVkqjo8mSIZil3BcpIysc/edit?usp=sharing"",""ศูนย์!H70"")"),0)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3">L346+L347</f>
        <v>790000</v>
      </c>
      <c r="M345" s="151">
        <f t="shared" ca="1" si="153"/>
        <v>451900</v>
      </c>
      <c r="N345" s="151">
        <f t="shared" ca="1" si="153"/>
        <v>233258</v>
      </c>
      <c r="O345" s="151">
        <f t="shared" ref="O345:O353" ca="1" si="154">IF(L345&gt;0,N345*100/L345,0)</f>
        <v>29.526329113924049</v>
      </c>
      <c r="P345" s="151">
        <f t="shared" ref="P345:P353" ca="1" si="155">IF(M345&gt;0,N345*100/M345,0)</f>
        <v>51.617171940694845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6">L349+L352</f>
        <v>0</v>
      </c>
      <c r="M346" s="90">
        <f t="shared" si="156"/>
        <v>0</v>
      </c>
      <c r="N346" s="90">
        <f t="shared" si="156"/>
        <v>0</v>
      </c>
      <c r="O346" s="90">
        <f t="shared" si="154"/>
        <v>0</v>
      </c>
      <c r="P346" s="90">
        <f t="shared" si="155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6"/>
        <v>790000</v>
      </c>
      <c r="M347" s="90">
        <f t="shared" ca="1" si="156"/>
        <v>451900</v>
      </c>
      <c r="N347" s="90">
        <f t="shared" ca="1" si="156"/>
        <v>233258</v>
      </c>
      <c r="O347" s="90">
        <f t="shared" ca="1" si="154"/>
        <v>29.526329113924049</v>
      </c>
      <c r="P347" s="90">
        <f t="shared" ca="1" si="155"/>
        <v>51.617171940694845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7">L349+L350</f>
        <v>676200</v>
      </c>
      <c r="M348" s="495">
        <f t="shared" ca="1" si="157"/>
        <v>338100</v>
      </c>
      <c r="N348" s="495">
        <f t="shared" ca="1" si="157"/>
        <v>119458</v>
      </c>
      <c r="O348" s="495">
        <f t="shared" ca="1" si="154"/>
        <v>17.666075125702456</v>
      </c>
      <c r="P348" s="495">
        <f t="shared" ca="1" si="155"/>
        <v>35.332150251404912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4"/>
        <v>0</v>
      </c>
      <c r="P349" s="90">
        <f t="shared" si="155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IFERROR(__xludf.DUMMYFUNCTION("IMPORTRANGE(""https://docs.google.com/spreadsheets/d/1MeEWN-I1oV_STSDYn1IFDPWt_1FKiwhDph83XaGc0o0/edit?usp=sharing"",""งบพรบ!EW70"")"),676200)</f>
        <v>676200</v>
      </c>
      <c r="M350" s="90">
        <f ca="1">IFERROR(__xludf.DUMMYFUNCTION("IMPORTRANGE(""https://docs.google.com/spreadsheets/d/1MeEWN-I1oV_STSDYn1IFDPWt_1FKiwhDph83XaGc0o0/edit?usp=sharing"",""งบพรบ!FB70"")"),338100)</f>
        <v>338100</v>
      </c>
      <c r="N350" s="90">
        <f ca="1">IFERROR(__xludf.DUMMYFUNCTION("IMPORTRANGE(""https://docs.google.com/spreadsheets/d/1MeEWN-I1oV_STSDYn1IFDPWt_1FKiwhDph83XaGc0o0/edit?usp=sharing"",""งบพรบ!FD70"")"),119458)</f>
        <v>119458</v>
      </c>
      <c r="O350" s="90">
        <f t="shared" ca="1" si="154"/>
        <v>17.666075125702456</v>
      </c>
      <c r="P350" s="90">
        <f t="shared" ca="1" si="155"/>
        <v>35.332150251404912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8">L352+L353</f>
        <v>113800</v>
      </c>
      <c r="M351" s="495">
        <f t="shared" ca="1" si="158"/>
        <v>113800</v>
      </c>
      <c r="N351" s="495">
        <f t="shared" ca="1" si="158"/>
        <v>113800</v>
      </c>
      <c r="O351" s="495">
        <f t="shared" ca="1" si="154"/>
        <v>100</v>
      </c>
      <c r="P351" s="495">
        <f t="shared" ca="1" si="155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4"/>
        <v>0</v>
      </c>
      <c r="P352" s="90">
        <f t="shared" si="155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IFERROR(__xludf.DUMMYFUNCTION("IMPORTRANGE(""https://docs.google.com/spreadsheets/d/1MeEWN-I1oV_STSDYn1IFDPWt_1FKiwhDph83XaGc0o0/edit?usp=sharing"",""งบพรบ!EZ70"")"),113800)</f>
        <v>113800</v>
      </c>
      <c r="M353" s="90">
        <f ca="1">IFERROR(__xludf.DUMMYFUNCTION("IMPORTRANGE(""https://docs.google.com/spreadsheets/d/1MeEWN-I1oV_STSDYn1IFDPWt_1FKiwhDph83XaGc0o0/edit?usp=sharing"",""งบพรบ!FC70"")"),113800)</f>
        <v>113800</v>
      </c>
      <c r="N353" s="90">
        <f ca="1">IFERROR(__xludf.DUMMYFUNCTION("IMPORTRANGE(""https://docs.google.com/spreadsheets/d/1MeEWN-I1oV_STSDYn1IFDPWt_1FKiwhDph83XaGc0o0/edit?usp=sharing"",""งบพรบ!FE70"")"),113800)</f>
        <v>113800</v>
      </c>
      <c r="O353" s="90">
        <f t="shared" ca="1" si="154"/>
        <v>100</v>
      </c>
      <c r="P353" s="90">
        <f t="shared" ca="1" si="155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IFERROR(__xludf.DUMMYFUNCTION("IMPORTRANGE(""https://docs.google.com/spreadsheets/d/1QqKyyYR6Q21VydFLVH3TRQUabQu_ym0Zz7PgGX0-kHA/edit?usp=sharing"",""แผน!EP70"")"),268)</f>
        <v>268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IFERROR(__xludf.DUMMYFUNCTION("IMPORTRANGE(""https://docs.google.com/spreadsheets/d/1XWAQStnk-4SwqDmLtmXYiTMKHgktTP8We1SCoS47DrQ/edit?usp=sharing"",""จัดที่ดิน!W70"")"),14)</f>
        <v>14</v>
      </c>
      <c r="K358" s="495">
        <f t="shared" ref="K358:K365" si="159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IFERROR(__xludf.DUMMYFUNCTION("IMPORTRANGE(""https://docs.google.com/spreadsheets/d/1QqKyyYR6Q21VydFLVH3TRQUabQu_ym0Zz7PgGX0-kHA/edit?usp=sharing"",""แผน!EO70"")"),2838)</f>
        <v>2838</v>
      </c>
      <c r="J359" s="264">
        <f ca="1">IFERROR(__xludf.DUMMYFUNCTION("IMPORTRANGE(""https://docs.google.com/spreadsheets/d/1XWAQStnk-4SwqDmLtmXYiTMKHgktTP8We1SCoS47DrQ/edit?usp=sharing"",""จัดที่ดิน!X70"")"),53.73)</f>
        <v>53.73</v>
      </c>
      <c r="K359" s="495">
        <f t="shared" ca="1" si="159"/>
        <v>1.8932346723044398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IFERROR(__xludf.DUMMYFUNCTION("IMPORTRANGE(""https://docs.google.com/spreadsheets/d/1QqKyyYR6Q21VydFLVH3TRQUabQu_ym0Zz7PgGX0-kHA/edit?usp=sharing"",""แผน!EP70"")"),268)</f>
        <v>268</v>
      </c>
      <c r="J360" s="264">
        <f ca="1">IFERROR(__xludf.DUMMYFUNCTION("IMPORTRANGE(""https://docs.google.com/spreadsheets/d/1XWAQStnk-4SwqDmLtmXYiTMKHgktTP8We1SCoS47DrQ/edit?usp=sharing"",""จัดที่ดิน!Y70"")"),0)</f>
        <v>0</v>
      </c>
      <c r="K360" s="495">
        <f t="shared" ca="1" si="159"/>
        <v>0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IFERROR(__xludf.DUMMYFUNCTION("IMPORTRANGE(""https://docs.google.com/spreadsheets/d/1XWAQStnk-4SwqDmLtmXYiTMKHgktTP8We1SCoS47DrQ/edit?usp=sharing"",""จัดที่ดิน!Z70"")"),0)</f>
        <v>0</v>
      </c>
      <c r="K361" s="495">
        <f t="shared" si="159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IFERROR(__xludf.DUMMYFUNCTION("IMPORTRANGE(""https://docs.google.com/spreadsheets/d/1QqKyyYR6Q21VydFLVH3TRQUabQu_ym0Zz7PgGX0-kHA/edit?usp=sharing"",""แผน!EP70"")"),268)</f>
        <v>268</v>
      </c>
      <c r="J362" s="264">
        <f ca="1">IFERROR(__xludf.DUMMYFUNCTION("IMPORTRANGE(""https://docs.google.com/spreadsheets/d/1XWAQStnk-4SwqDmLtmXYiTMKHgktTP8We1SCoS47DrQ/edit?usp=sharing"",""จัดที่ดิน!AA70"")"),0)</f>
        <v>0</v>
      </c>
      <c r="K362" s="495">
        <f t="shared" ca="1" si="159"/>
        <v>0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IFERROR(__xludf.DUMMYFUNCTION("IMPORTRANGE(""https://docs.google.com/spreadsheets/d/1XWAQStnk-4SwqDmLtmXYiTMKHgktTP8We1SCoS47DrQ/edit?usp=sharing"",""จัดที่ดิน!AB70"")"),0)</f>
        <v>0</v>
      </c>
      <c r="K363" s="495">
        <f t="shared" si="159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0">I365+I374</f>
        <v>398</v>
      </c>
      <c r="J364" s="476">
        <f t="shared" ca="1" si="160"/>
        <v>0</v>
      </c>
      <c r="K364" s="477">
        <f t="shared" ca="1" si="159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IFERROR(__xludf.DUMMYFUNCTION("IMPORTRANGE(""https://docs.google.com/spreadsheets/d/1QqKyyYR6Q21VydFLVH3TRQUabQu_ym0Zz7PgGX0-kHA/edit?usp=sharing"",""แผน!EJ70"")"),30)</f>
        <v>30</v>
      </c>
      <c r="J365" s="488">
        <f ca="1">J372</f>
        <v>0</v>
      </c>
      <c r="K365" s="489">
        <f t="shared" ca="1" si="159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IFERROR(__xludf.DUMMYFUNCTION("IMPORTRANGE(""https://docs.google.com/spreadsheets/d/1XWAQStnk-4SwqDmLtmXYiTMKHgktTP8We1SCoS47DrQ/edit?usp=sharing"",""จัดที่ดิน!E70"")"),14)</f>
        <v>14</v>
      </c>
      <c r="K368" s="495">
        <f t="shared" ref="K368:K374" si="161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IFERROR(__xludf.DUMMYFUNCTION("IMPORTRANGE(""https://docs.google.com/spreadsheets/d/1QqKyyYR6Q21VydFLVH3TRQUabQu_ym0Zz7PgGX0-kHA/edit?usp=sharing"",""แผน!EI70"")"),500)</f>
        <v>500</v>
      </c>
      <c r="J369" s="264">
        <f ca="1">IFERROR(__xludf.DUMMYFUNCTION("IMPORTRANGE(""https://docs.google.com/spreadsheets/d/1XWAQStnk-4SwqDmLtmXYiTMKHgktTP8We1SCoS47DrQ/edit?usp=sharing"",""จัดที่ดิน!F70"")"),53.73)</f>
        <v>53.73</v>
      </c>
      <c r="K369" s="495">
        <f t="shared" ca="1" si="161"/>
        <v>10.746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IFERROR(__xludf.DUMMYFUNCTION("IMPORTRANGE(""https://docs.google.com/spreadsheets/d/1QqKyyYR6Q21VydFLVH3TRQUabQu_ym0Zz7PgGX0-kHA/edit?usp=sharing"",""แผน!EJ70"")"),30)</f>
        <v>30</v>
      </c>
      <c r="J370" s="264">
        <f ca="1">IFERROR(__xludf.DUMMYFUNCTION("IMPORTRANGE(""https://docs.google.com/spreadsheets/d/1XWAQStnk-4SwqDmLtmXYiTMKHgktTP8We1SCoS47DrQ/edit?usp=sharing"",""จัดที่ดิน!G70"")"),0)</f>
        <v>0</v>
      </c>
      <c r="K370" s="495">
        <f t="shared" ca="1" si="161"/>
        <v>0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IFERROR(__xludf.DUMMYFUNCTION("IMPORTRANGE(""https://docs.google.com/spreadsheets/d/1XWAQStnk-4SwqDmLtmXYiTMKHgktTP8We1SCoS47DrQ/edit?usp=sharing"",""จัดที่ดิน!H70"")"),0)</f>
        <v>0</v>
      </c>
      <c r="K371" s="495">
        <f t="shared" si="161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IFERROR(__xludf.DUMMYFUNCTION("IMPORTRANGE(""https://docs.google.com/spreadsheets/d/1QqKyyYR6Q21VydFLVH3TRQUabQu_ym0Zz7PgGX0-kHA/edit?usp=sharing"",""แผน!EJ70"")"),30)</f>
        <v>30</v>
      </c>
      <c r="J372" s="264">
        <f ca="1">IFERROR(__xludf.DUMMYFUNCTION("IMPORTRANGE(""https://docs.google.com/spreadsheets/d/1XWAQStnk-4SwqDmLtmXYiTMKHgktTP8We1SCoS47DrQ/edit?usp=sharing"",""จัดที่ดิน!I70"")"),0)</f>
        <v>0</v>
      </c>
      <c r="K372" s="495">
        <f t="shared" ca="1" si="161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IFERROR(__xludf.DUMMYFUNCTION("IMPORTRANGE(""https://docs.google.com/spreadsheets/d/1XWAQStnk-4SwqDmLtmXYiTMKHgktTP8We1SCoS47DrQ/edit?usp=sharing"",""จัดที่ดิน!J70"")"),0)</f>
        <v>0</v>
      </c>
      <c r="K373" s="495">
        <f t="shared" si="161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IFERROR(__xludf.DUMMYFUNCTION("IMPORTRANGE(""https://docs.google.com/spreadsheets/d/1QqKyyYR6Q21VydFLVH3TRQUabQu_ym0Zz7PgGX0-kHA/edit?usp=sharing"",""แผน!EU70"")"),368)</f>
        <v>368</v>
      </c>
      <c r="J374" s="488">
        <f ca="1">J381</f>
        <v>0</v>
      </c>
      <c r="K374" s="489">
        <f t="shared" ca="1" si="161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IFERROR(__xludf.DUMMYFUNCTION("IMPORTRANGE(""https://docs.google.com/spreadsheets/d/1XWAQStnk-4SwqDmLtmXYiTMKHgktTP8We1SCoS47DrQ/edit?usp=sharing"",""จัดที่ดิน!AH70"")"),0)</f>
        <v>0</v>
      </c>
      <c r="K377" s="495">
        <f t="shared" ref="K377:K382" si="162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IFERROR(__xludf.DUMMYFUNCTION("IMPORTRANGE(""https://docs.google.com/spreadsheets/d/1QqKyyYR6Q21VydFLVH3TRQUabQu_ym0Zz7PgGX0-kHA/edit?usp=sharing"",""แผน!ET70"")"),2338)</f>
        <v>2338</v>
      </c>
      <c r="J378" s="264">
        <f ca="1">IFERROR(__xludf.DUMMYFUNCTION("IMPORTRANGE(""https://docs.google.com/spreadsheets/d/1XWAQStnk-4SwqDmLtmXYiTMKHgktTP8We1SCoS47DrQ/edit?usp=sharing"",""จัดที่ดิน!AI70"")"),0)</f>
        <v>0</v>
      </c>
      <c r="K378" s="495">
        <f t="shared" ca="1" si="162"/>
        <v>0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IFERROR(__xludf.DUMMYFUNCTION("IMPORTRANGE(""https://docs.google.com/spreadsheets/d/1QqKyyYR6Q21VydFLVH3TRQUabQu_ym0Zz7PgGX0-kHA/edit?usp=sharing"",""แผน!EU70"")"),368)</f>
        <v>368</v>
      </c>
      <c r="J379" s="264">
        <f ca="1">IFERROR(__xludf.DUMMYFUNCTION("IMPORTRANGE(""https://docs.google.com/spreadsheets/d/1XWAQStnk-4SwqDmLtmXYiTMKHgktTP8We1SCoS47DrQ/edit?usp=sharing"",""จัดที่ดิน!AJ70"")"),0)</f>
        <v>0</v>
      </c>
      <c r="K379" s="495">
        <f t="shared" ca="1" si="162"/>
        <v>0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IFERROR(__xludf.DUMMYFUNCTION("IMPORTRANGE(""https://docs.google.com/spreadsheets/d/1XWAQStnk-4SwqDmLtmXYiTMKHgktTP8We1SCoS47DrQ/edit?usp=sharing"",""จัดที่ดิน!AK70"")"),0)</f>
        <v>0</v>
      </c>
      <c r="K380" s="495">
        <f t="shared" si="162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IFERROR(__xludf.DUMMYFUNCTION("IMPORTRANGE(""https://docs.google.com/spreadsheets/d/1QqKyyYR6Q21VydFLVH3TRQUabQu_ym0Zz7PgGX0-kHA/edit?usp=sharing"",""แผน!EU70"")"),368)</f>
        <v>368</v>
      </c>
      <c r="J381" s="264">
        <f ca="1">IFERROR(__xludf.DUMMYFUNCTION("IMPORTRANGE(""https://docs.google.com/spreadsheets/d/1XWAQStnk-4SwqDmLtmXYiTMKHgktTP8We1SCoS47DrQ/edit?usp=sharing"",""จัดที่ดิน!AL70"")"),0)</f>
        <v>0</v>
      </c>
      <c r="K381" s="495">
        <f t="shared" ca="1" si="162"/>
        <v>0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IFERROR(__xludf.DUMMYFUNCTION("IMPORTRANGE(""https://docs.google.com/spreadsheets/d/1XWAQStnk-4SwqDmLtmXYiTMKHgktTP8We1SCoS47DrQ/edit?usp=sharing"",""จัดที่ดิน!AM70"")"),0)</f>
        <v>0</v>
      </c>
      <c r="K382" s="495">
        <f t="shared" si="162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IFERROR(__xludf.DUMMYFUNCTION("IMPORTRANGE(""https://docs.google.com/spreadsheets/d/1QqKyyYR6Q21VydFLVH3TRQUabQu_ym0Zz7PgGX0-kHA/edit?usp=sharing"",""แผน!EW70"")"),0)</f>
        <v>0</v>
      </c>
      <c r="J385" s="498">
        <f ca="1">IFERROR(__xludf.DUMMYFUNCTION("IMPORTRANGE(""https://docs.google.com/spreadsheets/d/1XWAQStnk-4SwqDmLtmXYiTMKHgktTP8We1SCoS47DrQ/edit?usp=sharing"",""จัดที่ดิน!AP70"")"),0)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3">I400</f>
        <v>0</v>
      </c>
      <c r="J388" s="519">
        <f t="shared" si="163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4">L390+L391</f>
        <v>0</v>
      </c>
      <c r="M389" s="151">
        <f t="shared" ca="1" si="164"/>
        <v>0</v>
      </c>
      <c r="N389" s="151">
        <f t="shared" ca="1" si="164"/>
        <v>0</v>
      </c>
      <c r="O389" s="151">
        <f t="shared" ref="O389:O397" ca="1" si="165">IF(L389&gt;0,N389*100/L389,0)</f>
        <v>0</v>
      </c>
      <c r="P389" s="151">
        <f t="shared" ref="P389:P397" ca="1" si="1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7">L393+L396</f>
        <v>0</v>
      </c>
      <c r="M390" s="90">
        <f t="shared" si="167"/>
        <v>0</v>
      </c>
      <c r="N390" s="90">
        <f t="shared" si="167"/>
        <v>0</v>
      </c>
      <c r="O390" s="90">
        <f t="shared" si="165"/>
        <v>0</v>
      </c>
      <c r="P390" s="90">
        <f t="shared" si="1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7"/>
        <v>0</v>
      </c>
      <c r="M391" s="90">
        <f t="shared" ca="1" si="167"/>
        <v>0</v>
      </c>
      <c r="N391" s="90">
        <f t="shared" ca="1" si="167"/>
        <v>0</v>
      </c>
      <c r="O391" s="90">
        <f t="shared" ca="1" si="165"/>
        <v>0</v>
      </c>
      <c r="P391" s="90">
        <f t="shared" ca="1" si="1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8">L393+L394</f>
        <v>0</v>
      </c>
      <c r="M392" s="495">
        <f t="shared" ca="1" si="168"/>
        <v>0</v>
      </c>
      <c r="N392" s="495">
        <f t="shared" ca="1" si="168"/>
        <v>0</v>
      </c>
      <c r="O392" s="495">
        <f t="shared" ca="1" si="165"/>
        <v>0</v>
      </c>
      <c r="P392" s="495">
        <f t="shared" ca="1" si="1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5"/>
        <v>0</v>
      </c>
      <c r="P393" s="90">
        <f t="shared" si="1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IFERROR(__xludf.DUMMYFUNCTION("IMPORTRANGE(""https://docs.google.com/spreadsheets/d/1MeEWN-I1oV_STSDYn1IFDPWt_1FKiwhDph83XaGc0o0/edit?usp=sharing"",""งบพรบ!FG70"")"),0)</f>
        <v>0</v>
      </c>
      <c r="M394" s="90">
        <f ca="1">IFERROR(__xludf.DUMMYFUNCTION("IMPORTRANGE(""https://docs.google.com/spreadsheets/d/1MeEWN-I1oV_STSDYn1IFDPWt_1FKiwhDph83XaGc0o0/edit?usp=sharing"",""งบพรบ!FL70"")"),0)</f>
        <v>0</v>
      </c>
      <c r="N394" s="90">
        <f ca="1">IFERROR(__xludf.DUMMYFUNCTION("IMPORTRANGE(""https://docs.google.com/spreadsheets/d/1MeEWN-I1oV_STSDYn1IFDPWt_1FKiwhDph83XaGc0o0/edit?usp=sharing"",""งบพรบ!FN70"")"),0)</f>
        <v>0</v>
      </c>
      <c r="O394" s="90">
        <f t="shared" ca="1" si="165"/>
        <v>0</v>
      </c>
      <c r="P394" s="90">
        <f t="shared" ca="1" si="1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69">L396+L397</f>
        <v>0</v>
      </c>
      <c r="M395" s="495">
        <f t="shared" ca="1" si="169"/>
        <v>0</v>
      </c>
      <c r="N395" s="495">
        <f t="shared" ca="1" si="169"/>
        <v>0</v>
      </c>
      <c r="O395" s="495">
        <f t="shared" ca="1" si="165"/>
        <v>0</v>
      </c>
      <c r="P395" s="495">
        <f t="shared" ca="1" si="1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5"/>
        <v>0</v>
      </c>
      <c r="P396" s="90">
        <f t="shared" si="1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IFERROR(__xludf.DUMMYFUNCTION("IMPORTRANGE(""https://docs.google.com/spreadsheets/d/1MeEWN-I1oV_STSDYn1IFDPWt_1FKiwhDph83XaGc0o0/edit?usp=sharing"",""งบพรบ!FJ70"")"),0)</f>
        <v>0</v>
      </c>
      <c r="M397" s="90">
        <f ca="1">IFERROR(__xludf.DUMMYFUNCTION("IMPORTRANGE(""https://docs.google.com/spreadsheets/d/1MeEWN-I1oV_STSDYn1IFDPWt_1FKiwhDph83XaGc0o0/edit?usp=sharing"",""งบพรบ!FM70"")"),0)</f>
        <v>0</v>
      </c>
      <c r="N397" s="90">
        <f ca="1">IFERROR(__xludf.DUMMYFUNCTION("IMPORTRANGE(""https://docs.google.com/spreadsheets/d/1MeEWN-I1oV_STSDYn1IFDPWt_1FKiwhDph83XaGc0o0/edit?usp=sharing"",""งบพรบ!FO70"")"),0)</f>
        <v>0</v>
      </c>
      <c r="O397" s="90">
        <f t="shared" ca="1" si="165"/>
        <v>0</v>
      </c>
      <c r="P397" s="90">
        <f t="shared" ca="1" si="1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0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0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1">I412</f>
        <v>0</v>
      </c>
      <c r="J401" s="519">
        <f t="shared" si="171"/>
        <v>0</v>
      </c>
      <c r="K401" s="520">
        <f t="shared" si="170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2">L403+L404</f>
        <v>0</v>
      </c>
      <c r="M402" s="151">
        <f t="shared" ca="1" si="172"/>
        <v>0</v>
      </c>
      <c r="N402" s="151">
        <f t="shared" ca="1" si="172"/>
        <v>0</v>
      </c>
      <c r="O402" s="151">
        <f t="shared" ref="O402:O410" ca="1" si="173">IF(L402&gt;0,N402*100/L402,0)</f>
        <v>0</v>
      </c>
      <c r="P402" s="151">
        <f t="shared" ref="P402:P410" ca="1" si="174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5">L406+L409</f>
        <v>0</v>
      </c>
      <c r="M403" s="90">
        <f t="shared" si="175"/>
        <v>0</v>
      </c>
      <c r="N403" s="90">
        <f t="shared" si="175"/>
        <v>0</v>
      </c>
      <c r="O403" s="90">
        <f t="shared" si="173"/>
        <v>0</v>
      </c>
      <c r="P403" s="90">
        <f t="shared" si="174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5"/>
        <v>0</v>
      </c>
      <c r="M404" s="90">
        <f t="shared" ca="1" si="175"/>
        <v>0</v>
      </c>
      <c r="N404" s="90">
        <f t="shared" ca="1" si="175"/>
        <v>0</v>
      </c>
      <c r="O404" s="90">
        <f t="shared" ca="1" si="173"/>
        <v>0</v>
      </c>
      <c r="P404" s="90">
        <f t="shared" ca="1" si="174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6">L406+L407</f>
        <v>0</v>
      </c>
      <c r="M405" s="495">
        <f t="shared" ca="1" si="176"/>
        <v>0</v>
      </c>
      <c r="N405" s="495">
        <f t="shared" ca="1" si="176"/>
        <v>0</v>
      </c>
      <c r="O405" s="495">
        <f t="shared" ca="1" si="173"/>
        <v>0</v>
      </c>
      <c r="P405" s="495">
        <f t="shared" ca="1" si="174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3"/>
        <v>0</v>
      </c>
      <c r="P406" s="90">
        <f t="shared" si="174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IFERROR(__xludf.DUMMYFUNCTION("IMPORTRANGE(""https://docs.google.com/spreadsheets/d/1MeEWN-I1oV_STSDYn1IFDPWt_1FKiwhDph83XaGc0o0/edit?usp=sharing"",""งบพรบ!FQ70"")"),0)</f>
        <v>0</v>
      </c>
      <c r="M407" s="90">
        <f ca="1">IFERROR(__xludf.DUMMYFUNCTION("IMPORTRANGE(""https://docs.google.com/spreadsheets/d/1MeEWN-I1oV_STSDYn1IFDPWt_1FKiwhDph83XaGc0o0/edit?usp=sharing"",""งบพรบ!FV70"")"),0)</f>
        <v>0</v>
      </c>
      <c r="N407" s="90">
        <f ca="1">IFERROR(__xludf.DUMMYFUNCTION("IMPORTRANGE(""https://docs.google.com/spreadsheets/d/1MeEWN-I1oV_STSDYn1IFDPWt_1FKiwhDph83XaGc0o0/edit?usp=sharing"",""งบพรบ!FX70"")"),0)</f>
        <v>0</v>
      </c>
      <c r="O407" s="90">
        <f t="shared" ca="1" si="173"/>
        <v>0</v>
      </c>
      <c r="P407" s="90">
        <f t="shared" ca="1" si="174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7">L409+L410</f>
        <v>0</v>
      </c>
      <c r="M408" s="495">
        <f t="shared" ca="1" si="177"/>
        <v>0</v>
      </c>
      <c r="N408" s="495">
        <f t="shared" ca="1" si="177"/>
        <v>0</v>
      </c>
      <c r="O408" s="495">
        <f t="shared" ca="1" si="173"/>
        <v>0</v>
      </c>
      <c r="P408" s="495">
        <f t="shared" ca="1" si="174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3"/>
        <v>0</v>
      </c>
      <c r="P409" s="90">
        <f t="shared" si="174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IFERROR(__xludf.DUMMYFUNCTION("IMPORTRANGE(""https://docs.google.com/spreadsheets/d/1MeEWN-I1oV_STSDYn1IFDPWt_1FKiwhDph83XaGc0o0/edit?usp=sharing"",""งบพรบ!FT70"")"),0)</f>
        <v>0</v>
      </c>
      <c r="M410" s="90">
        <f ca="1">IFERROR(__xludf.DUMMYFUNCTION("IMPORTRANGE(""https://docs.google.com/spreadsheets/d/1MeEWN-I1oV_STSDYn1IFDPWt_1FKiwhDph83XaGc0o0/edit?usp=sharing"",""งบพรบ!FW70"")"),0)</f>
        <v>0</v>
      </c>
      <c r="N410" s="90">
        <f ca="1">IFERROR(__xludf.DUMMYFUNCTION("IMPORTRANGE(""https://docs.google.com/spreadsheets/d/1MeEWN-I1oV_STSDYn1IFDPWt_1FKiwhDph83XaGc0o0/edit?usp=sharing"",""งบพรบ!FY70"")"),0)</f>
        <v>0</v>
      </c>
      <c r="O410" s="90">
        <f t="shared" ca="1" si="173"/>
        <v>0</v>
      </c>
      <c r="P410" s="90">
        <f t="shared" ca="1" si="174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8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8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79">L419+L444+L467+L502+L523+L544+L629+L655+L685+L737+L754+L770+L786+L805</f>
        <v>1157263</v>
      </c>
      <c r="M414" s="546">
        <f t="shared" si="179"/>
        <v>0</v>
      </c>
      <c r="N414" s="546">
        <f t="shared" si="179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0">I433</f>
        <v>20</v>
      </c>
      <c r="J417" s="562">
        <f t="shared" ca="1" si="180"/>
        <v>0</v>
      </c>
      <c r="K417" s="563">
        <f t="shared" ref="K417:K418" ca="1" si="181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0"/>
        <v>1</v>
      </c>
      <c r="J418" s="562">
        <f t="shared" si="180"/>
        <v>0</v>
      </c>
      <c r="K418" s="563">
        <f t="shared" ca="1" si="181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2">L420+L421</f>
        <v>78660</v>
      </c>
      <c r="M419" s="151">
        <f t="shared" si="182"/>
        <v>0</v>
      </c>
      <c r="N419" s="151">
        <f t="shared" si="182"/>
        <v>0</v>
      </c>
      <c r="O419" s="151">
        <f t="shared" ref="O419:O424" ca="1" si="183">IF(L419&gt;0,N419*100/L419,0)</f>
        <v>0</v>
      </c>
      <c r="P419" s="151">
        <f t="shared" ref="P419:P424" si="184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5">L423+L430</f>
        <v>0</v>
      </c>
      <c r="M420" s="90">
        <f t="shared" si="185"/>
        <v>0</v>
      </c>
      <c r="N420" s="90">
        <f t="shared" si="185"/>
        <v>0</v>
      </c>
      <c r="O420" s="90">
        <f t="shared" si="183"/>
        <v>0</v>
      </c>
      <c r="P420" s="90">
        <f t="shared" si="184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5"/>
        <v>78660</v>
      </c>
      <c r="M421" s="90">
        <f t="shared" si="185"/>
        <v>0</v>
      </c>
      <c r="N421" s="90">
        <f t="shared" si="185"/>
        <v>0</v>
      </c>
      <c r="O421" s="90">
        <f t="shared" ca="1" si="183"/>
        <v>0</v>
      </c>
      <c r="P421" s="90">
        <f t="shared" si="184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6">L423+L424</f>
        <v>78660</v>
      </c>
      <c r="M422" s="495">
        <f t="shared" si="186"/>
        <v>0</v>
      </c>
      <c r="N422" s="495">
        <f t="shared" si="186"/>
        <v>0</v>
      </c>
      <c r="O422" s="495">
        <f t="shared" ca="1" si="183"/>
        <v>0</v>
      </c>
      <c r="P422" s="495">
        <f t="shared" si="184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3"/>
        <v>0</v>
      </c>
      <c r="P423" s="90">
        <f t="shared" si="184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IFERROR(__xludf.DUMMYFUNCTION("IMPORTRANGE(""https://docs.google.com/spreadsheets/d/1QqKyyYR6Q21VydFLVH3TRQUabQu_ym0Zz7PgGX0-kHA/edit?usp=sharing"",""แผน!EY70"")"),78660)</f>
        <v>78660</v>
      </c>
      <c r="M424" s="90">
        <v>0</v>
      </c>
      <c r="N424" s="90">
        <f>N425+N426+N427+N428</f>
        <v>0</v>
      </c>
      <c r="O424" s="90">
        <f t="shared" ca="1" si="183"/>
        <v>0</v>
      </c>
      <c r="P424" s="90">
        <f t="shared" si="184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7">L430+L431</f>
        <v>0</v>
      </c>
      <c r="M429" s="495">
        <f t="shared" si="187"/>
        <v>0</v>
      </c>
      <c r="N429" s="495">
        <f t="shared" si="187"/>
        <v>0</v>
      </c>
      <c r="O429" s="495">
        <f t="shared" ref="O429:O431" ca="1" si="188">IF(L429&gt;0,N429*100/L429,0)</f>
        <v>0</v>
      </c>
      <c r="P429" s="495">
        <f t="shared" ref="P429:P431" si="189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8"/>
        <v>0</v>
      </c>
      <c r="P430" s="90">
        <f t="shared" si="189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IFERROR(__xludf.DUMMYFUNCTION("IMPORTRANGE(""https://docs.google.com/spreadsheets/d/1QqKyyYR6Q21VydFLVH3TRQUabQu_ym0Zz7PgGX0-kHA/edit?usp=sharing"",""แผน!FB70"")"),0)</f>
        <v>0</v>
      </c>
      <c r="M431" s="90">
        <v>0</v>
      </c>
      <c r="N431" s="90">
        <v>0</v>
      </c>
      <c r="O431" s="90">
        <f t="shared" ca="1" si="188"/>
        <v>0</v>
      </c>
      <c r="P431" s="90">
        <f t="shared" si="189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20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0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1">I438+I440</f>
        <v>1</v>
      </c>
      <c r="J434" s="673">
        <f t="shared" si="191"/>
        <v>0</v>
      </c>
      <c r="K434" s="191">
        <f t="shared" ca="1" si="190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IFERROR(__xludf.DUMMYFUNCTION("IMPORTRANGE(""https://docs.google.com/spreadsheets/d/1QqKyyYR6Q21VydFLVH3TRQUabQu_ym0Zz7PgGX0-kHA/edit?usp=sharing"",""แผน!FC70"")"),20)</f>
        <v>20</v>
      </c>
      <c r="J435" s="576">
        <v>0</v>
      </c>
      <c r="K435" s="495">
        <f t="shared" ca="1" si="190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IFERROR(__xludf.DUMMYFUNCTION("IMPORTRANGE(""https://docs.google.com/spreadsheets/d/1QqKyyYR6Q21VydFLVH3TRQUabQu_ym0Zz7PgGX0-kHA/edit?usp=sharing"",""แผน!FD70"")"),0)</f>
        <v>0</v>
      </c>
      <c r="J437" s="576">
        <v>0</v>
      </c>
      <c r="K437" s="495">
        <f t="shared" ref="K437:K443" ca="1" si="192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IFERROR(__xludf.DUMMYFUNCTION("IMPORTRANGE(""https://docs.google.com/spreadsheets/d/1QqKyyYR6Q21VydFLVH3TRQUabQu_ym0Zz7PgGX0-kHA/edit?usp=sharing"",""แผน!FE70"")"),0)</f>
        <v>0</v>
      </c>
      <c r="J438" s="210">
        <v>0</v>
      </c>
      <c r="K438" s="495">
        <f t="shared" ca="1" si="192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IFERROR(__xludf.DUMMYFUNCTION("IMPORTRANGE(""https://docs.google.com/spreadsheets/d/1QqKyyYR6Q21VydFLVH3TRQUabQu_ym0Zz7PgGX0-kHA/edit?usp=sharing"",""แผน!FF70"")"),20)</f>
        <v>20</v>
      </c>
      <c r="J439" s="576">
        <v>0</v>
      </c>
      <c r="K439" s="495">
        <f t="shared" ca="1" si="192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IFERROR(__xludf.DUMMYFUNCTION("IMPORTRANGE(""https://docs.google.com/spreadsheets/d/1QqKyyYR6Q21VydFLVH3TRQUabQu_ym0Zz7PgGX0-kHA/edit?usp=sharing"",""แผน!FG70"")"),1)</f>
        <v>1</v>
      </c>
      <c r="J440" s="210">
        <v>0</v>
      </c>
      <c r="K440" s="495">
        <f t="shared" ca="1" si="192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IFERROR(__xludf.DUMMYFUNCTION("IMPORTRANGE(""https://docs.google.com/spreadsheets/d/1QqKyyYR6Q21VydFLVH3TRQUabQu_ym0Zz7PgGX0-kHA/edit?usp=sharing"",""แผน!FH70"")"),0)</f>
        <v>0</v>
      </c>
      <c r="J441" s="264">
        <v>0</v>
      </c>
      <c r="K441" s="495">
        <f t="shared" ca="1" si="192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3">I460</f>
        <v>10</v>
      </c>
      <c r="J442" s="582">
        <f t="shared" si="193"/>
        <v>0</v>
      </c>
      <c r="K442" s="583">
        <f t="shared" ca="1" si="192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4">I462</f>
        <v>20</v>
      </c>
      <c r="J443" s="562">
        <f t="shared" si="194"/>
        <v>0</v>
      </c>
      <c r="K443" s="563">
        <f t="shared" ca="1" si="192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5">L445+L446</f>
        <v>70160</v>
      </c>
      <c r="M444" s="191">
        <f t="shared" si="195"/>
        <v>0</v>
      </c>
      <c r="N444" s="191">
        <f t="shared" si="195"/>
        <v>0</v>
      </c>
      <c r="O444" s="191">
        <f t="shared" ref="O444:O449" ca="1" si="196">IF(L444&gt;0,N444*100/L444,0)</f>
        <v>0</v>
      </c>
      <c r="P444" s="191">
        <f t="shared" ref="P444:P449" si="197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8">L448+L455</f>
        <v>0</v>
      </c>
      <c r="M445" s="90">
        <f t="shared" si="198"/>
        <v>0</v>
      </c>
      <c r="N445" s="90">
        <f t="shared" si="198"/>
        <v>0</v>
      </c>
      <c r="O445" s="90">
        <f t="shared" si="196"/>
        <v>0</v>
      </c>
      <c r="P445" s="90">
        <f t="shared" si="197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8"/>
        <v>70160</v>
      </c>
      <c r="M446" s="90">
        <f t="shared" si="198"/>
        <v>0</v>
      </c>
      <c r="N446" s="90">
        <f t="shared" si="198"/>
        <v>0</v>
      </c>
      <c r="O446" s="90">
        <f t="shared" ca="1" si="196"/>
        <v>0</v>
      </c>
      <c r="P446" s="90">
        <f t="shared" si="197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199">L448+L449</f>
        <v>70160</v>
      </c>
      <c r="M447" s="495">
        <f t="shared" si="199"/>
        <v>0</v>
      </c>
      <c r="N447" s="495">
        <f t="shared" si="199"/>
        <v>0</v>
      </c>
      <c r="O447" s="495">
        <f t="shared" ca="1" si="196"/>
        <v>0</v>
      </c>
      <c r="P447" s="495">
        <f t="shared" si="197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6"/>
        <v>0</v>
      </c>
      <c r="P448" s="90">
        <f t="shared" si="197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IFERROR(__xludf.DUMMYFUNCTION("IMPORTRANGE(""https://docs.google.com/spreadsheets/d/1QqKyyYR6Q21VydFLVH3TRQUabQu_ym0Zz7PgGX0-kHA/edit?usp=sharing"",""แผน!FJ70"")"),70160)</f>
        <v>70160</v>
      </c>
      <c r="M449" s="90">
        <v>0</v>
      </c>
      <c r="N449" s="90">
        <f>N450+N451+N452+N453</f>
        <v>0</v>
      </c>
      <c r="O449" s="90">
        <f t="shared" ca="1" si="196"/>
        <v>0</v>
      </c>
      <c r="P449" s="90">
        <f t="shared" si="197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0">L455+L456</f>
        <v>0</v>
      </c>
      <c r="M454" s="495">
        <f t="shared" si="200"/>
        <v>0</v>
      </c>
      <c r="N454" s="495">
        <f t="shared" si="200"/>
        <v>0</v>
      </c>
      <c r="O454" s="495">
        <f t="shared" ref="O454:O456" ca="1" si="201">IF(L454&gt;0,N454*100/L454,0)</f>
        <v>0</v>
      </c>
      <c r="P454" s="495">
        <f t="shared" ref="P454:P456" si="202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1"/>
        <v>0</v>
      </c>
      <c r="P455" s="90">
        <f t="shared" si="202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IFERROR(__xludf.DUMMYFUNCTION("IMPORTRANGE(""https://docs.google.com/spreadsheets/d/1QqKyyYR6Q21VydFLVH3TRQUabQu_ym0Zz7PgGX0-kHA/edit?usp=sharing"",""แผน!FM70"")"),0)</f>
        <v>0</v>
      </c>
      <c r="M456" s="90">
        <v>0</v>
      </c>
      <c r="N456" s="90">
        <v>0</v>
      </c>
      <c r="O456" s="90">
        <f t="shared" ca="1" si="201"/>
        <v>0</v>
      </c>
      <c r="P456" s="90">
        <f t="shared" si="202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IFERROR(__xludf.DUMMYFUNCTION("IMPORTRANGE(""https://docs.google.com/spreadsheets/d/1QqKyyYR6Q21VydFLVH3TRQUabQu_ym0Zz7PgGX0-kHA/edit?usp=sharing"",""แผน!FN70"")"),10)</f>
        <v>10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IFERROR(__xludf.DUMMYFUNCTION("IMPORTRANGE(""https://docs.google.com/spreadsheets/d/1QqKyyYR6Q21VydFLVH3TRQUabQu_ym0Zz7PgGX0-kHA/edit?usp=sharing"",""แผน!FO70"")"),20)</f>
        <v>20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IFERROR(__xludf.DUMMYFUNCTION("IMPORTRANGE(""https://docs.google.com/spreadsheets/d/1QqKyyYR6Q21VydFLVH3TRQUabQu_ym0Zz7PgGX0-kHA/edit?usp=sharing"",""แผน!FO70"")"),20)</f>
        <v>20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IFERROR(__xludf.DUMMYFUNCTION("IMPORTRANGE(""https://docs.google.com/spreadsheets/d/1QqKyyYR6Q21VydFLVH3TRQUabQu_ym0Zz7PgGX0-kHA/edit?usp=sharing"",""แผน!FN70"")"),10)</f>
        <v>10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IFERROR(__xludf.DUMMYFUNCTION("IMPORTRANGE(""https://docs.google.com/spreadsheets/d/1QqKyyYR6Q21VydFLVH3TRQUabQu_ym0Zz7PgGX0-kHA/edit?usp=sharing"",""แผน!FX70"")"),21)</f>
        <v>21</v>
      </c>
      <c r="J465" s="582">
        <f>J485+J489+J492</f>
        <v>0</v>
      </c>
      <c r="K465" s="583">
        <f t="shared" ref="K465:K466" ca="1" si="203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IFERROR(__xludf.DUMMYFUNCTION("IMPORTRANGE(""https://docs.google.com/spreadsheets/d/1QqKyyYR6Q21VydFLVH3TRQUabQu_ym0Zz7PgGX0-kHA/edit?usp=sharing"",""แผน!FW70"")"),200)</f>
        <v>200</v>
      </c>
      <c r="J466" s="562">
        <f>J483+J487</f>
        <v>0</v>
      </c>
      <c r="K466" s="563">
        <f t="shared" ca="1" si="203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4">L468+L469</f>
        <v>174403</v>
      </c>
      <c r="M467" s="191">
        <f t="shared" si="204"/>
        <v>0</v>
      </c>
      <c r="N467" s="191">
        <f t="shared" si="204"/>
        <v>0</v>
      </c>
      <c r="O467" s="191">
        <f t="shared" ref="O467:O472" ca="1" si="205">IF(L467&gt;0,N467*100/L467,0)</f>
        <v>0</v>
      </c>
      <c r="P467" s="191">
        <f t="shared" ref="P467:P472" si="206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7">L471+L478</f>
        <v>0</v>
      </c>
      <c r="M468" s="90">
        <f t="shared" si="207"/>
        <v>0</v>
      </c>
      <c r="N468" s="90">
        <f t="shared" si="207"/>
        <v>0</v>
      </c>
      <c r="O468" s="90">
        <f t="shared" si="205"/>
        <v>0</v>
      </c>
      <c r="P468" s="90">
        <f t="shared" si="206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7"/>
        <v>174403</v>
      </c>
      <c r="M469" s="90">
        <f t="shared" si="207"/>
        <v>0</v>
      </c>
      <c r="N469" s="90">
        <f t="shared" si="207"/>
        <v>0</v>
      </c>
      <c r="O469" s="90">
        <f t="shared" ca="1" si="205"/>
        <v>0</v>
      </c>
      <c r="P469" s="90">
        <f t="shared" si="206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8">L471+L472</f>
        <v>174403</v>
      </c>
      <c r="M470" s="495">
        <f t="shared" si="208"/>
        <v>0</v>
      </c>
      <c r="N470" s="495">
        <f t="shared" si="208"/>
        <v>0</v>
      </c>
      <c r="O470" s="495">
        <f t="shared" ca="1" si="205"/>
        <v>0</v>
      </c>
      <c r="P470" s="495">
        <f t="shared" si="206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5"/>
        <v>0</v>
      </c>
      <c r="P471" s="90">
        <f t="shared" si="206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IFERROR(__xludf.DUMMYFUNCTION("IMPORTRANGE(""https://docs.google.com/spreadsheets/d/1QqKyyYR6Q21VydFLVH3TRQUabQu_ym0Zz7PgGX0-kHA/edit?usp=sharing"",""แผน!FS70"")"),174403)</f>
        <v>174403</v>
      </c>
      <c r="M472" s="90">
        <v>0</v>
      </c>
      <c r="N472" s="90">
        <f>N473+N474+N475+N476</f>
        <v>0</v>
      </c>
      <c r="O472" s="90">
        <f t="shared" ca="1" si="205"/>
        <v>0</v>
      </c>
      <c r="P472" s="90">
        <f t="shared" si="206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09">L478+L479</f>
        <v>0</v>
      </c>
      <c r="M477" s="495">
        <f t="shared" si="209"/>
        <v>0</v>
      </c>
      <c r="N477" s="495">
        <f t="shared" si="209"/>
        <v>0</v>
      </c>
      <c r="O477" s="495">
        <f t="shared" ref="O477:O479" ca="1" si="210">IF(L477&gt;0,N477*100/L477,0)</f>
        <v>0</v>
      </c>
      <c r="P477" s="495">
        <f t="shared" ref="P477:P479" si="211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0"/>
        <v>0</v>
      </c>
      <c r="P478" s="90">
        <f t="shared" si="211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IFERROR(__xludf.DUMMYFUNCTION("IMPORTRANGE(""https://docs.google.com/spreadsheets/d/1QqKyyYR6Q21VydFLVH3TRQUabQu_ym0Zz7PgGX0-kHA/edit?usp=sharing"",""แผน!FV70"")"),0)</f>
        <v>0</v>
      </c>
      <c r="M479" s="90">
        <v>0</v>
      </c>
      <c r="N479" s="90">
        <v>0</v>
      </c>
      <c r="O479" s="90">
        <f t="shared" ca="1" si="210"/>
        <v>0</v>
      </c>
      <c r="P479" s="90">
        <f t="shared" si="211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IFERROR(__xludf.DUMMYFUNCTION("IMPORTRANGE(""https://docs.google.com/spreadsheets/d/1QqKyyYR6Q21VydFLVH3TRQUabQu_ym0Zz7PgGX0-kHA/edit?usp=sharing"",""แผน!FY70"")"),180)</f>
        <v>180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IFERROR(__xludf.DUMMYFUNCTION("IMPORTRANGE(""https://docs.google.com/spreadsheets/d/1QqKyyYR6Q21VydFLVH3TRQUabQu_ym0Zz7PgGX0-kHA/edit?usp=sharing"",""แผน!FZ70"")"),18)</f>
        <v>18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IFERROR(__xludf.DUMMYFUNCTION("IMPORTRANGE(""https://docs.google.com/spreadsheets/d/1QqKyyYR6Q21VydFLVH3TRQUabQu_ym0Zz7PgGX0-kHA/edit?usp=sharing"",""แผน!GA70"")"),20)</f>
        <v>20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IFERROR(__xludf.DUMMYFUNCTION("IMPORTRANGE(""https://docs.google.com/spreadsheets/d/1QqKyyYR6Q21VydFLVH3TRQUabQu_ym0Zz7PgGX0-kHA/edit?usp=sharing"",""แผน!GB70"")"),2)</f>
        <v>2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IFERROR(__xludf.DUMMYFUNCTION("IMPORTRANGE(""https://docs.google.com/spreadsheets/d/1QqKyyYR6Q21VydFLVH3TRQUabQu_ym0Zz7PgGX0-kHA/edit?usp=sharing"",""แผน!GC70"")"),1)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IFERROR(__xludf.DUMMYFUNCTION("IMPORTRANGE(""https://docs.google.com/spreadsheets/d/1QqKyyYR6Q21VydFLVH3TRQUabQu_ym0Zz7PgGX0-kHA/edit?usp=sharing"",""แผน!FY70"")"),180)</f>
        <v>180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IFERROR(__xludf.DUMMYFUNCTION("IMPORTRANGE(""https://docs.google.com/spreadsheets/d/1QqKyyYR6Q21VydFLVH3TRQUabQu_ym0Zz7PgGX0-kHA/edit?usp=sharing"",""แผน!GA70"")"),20)</f>
        <v>20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2">J516</f>
        <v>0</v>
      </c>
      <c r="K500" s="626">
        <f t="shared" ref="K500:K501" si="213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2"/>
        <v>0</v>
      </c>
      <c r="K501" s="635">
        <f t="shared" si="213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4">L503+L504</f>
        <v>0</v>
      </c>
      <c r="M502" s="639">
        <f t="shared" si="214"/>
        <v>0</v>
      </c>
      <c r="N502" s="639">
        <f t="shared" si="214"/>
        <v>0</v>
      </c>
      <c r="O502" s="639">
        <f t="shared" ref="O502:O507" si="215">IF(L502&gt;0,N502*100/L502,0)</f>
        <v>0</v>
      </c>
      <c r="P502" s="639">
        <f t="shared" ref="P502:P507" si="216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7">L506+L513</f>
        <v>0</v>
      </c>
      <c r="M503" s="90">
        <f t="shared" si="217"/>
        <v>0</v>
      </c>
      <c r="N503" s="90">
        <f t="shared" si="217"/>
        <v>0</v>
      </c>
      <c r="O503" s="90">
        <f t="shared" si="215"/>
        <v>0</v>
      </c>
      <c r="P503" s="90">
        <f t="shared" si="216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7"/>
        <v>0</v>
      </c>
      <c r="M504" s="90">
        <f t="shared" si="217"/>
        <v>0</v>
      </c>
      <c r="N504" s="90">
        <f t="shared" si="217"/>
        <v>0</v>
      </c>
      <c r="O504" s="90">
        <f t="shared" si="215"/>
        <v>0</v>
      </c>
      <c r="P504" s="90">
        <f t="shared" si="216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8">L506+L507</f>
        <v>0</v>
      </c>
      <c r="M505" s="90">
        <f t="shared" si="218"/>
        <v>0</v>
      </c>
      <c r="N505" s="90">
        <f t="shared" si="218"/>
        <v>0</v>
      </c>
      <c r="O505" s="90">
        <f t="shared" si="215"/>
        <v>0</v>
      </c>
      <c r="P505" s="90">
        <f t="shared" si="216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5"/>
        <v>0</v>
      </c>
      <c r="P506" s="90">
        <f t="shared" si="216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5"/>
        <v>0</v>
      </c>
      <c r="P507" s="90">
        <f t="shared" si="216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19">L513+L514</f>
        <v>0</v>
      </c>
      <c r="M512" s="90">
        <f t="shared" si="219"/>
        <v>0</v>
      </c>
      <c r="N512" s="90">
        <f t="shared" si="219"/>
        <v>0</v>
      </c>
      <c r="O512" s="90">
        <f t="shared" ref="O512:O514" si="220">IF(L512&gt;0,N512*100/L512,0)</f>
        <v>0</v>
      </c>
      <c r="P512" s="90">
        <f t="shared" ref="P512:P514" si="221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0"/>
        <v>0</v>
      </c>
      <c r="P513" s="90">
        <f t="shared" si="221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0"/>
        <v>0</v>
      </c>
      <c r="P514" s="90">
        <f t="shared" si="221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2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2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 hidden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3">I537</f>
        <v>0</v>
      </c>
      <c r="J522" s="698">
        <f t="shared" ca="1" si="223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4">L524+L525</f>
        <v>0</v>
      </c>
      <c r="M523" s="191">
        <f t="shared" si="224"/>
        <v>0</v>
      </c>
      <c r="N523" s="191">
        <f t="shared" si="224"/>
        <v>0</v>
      </c>
      <c r="O523" s="191">
        <f t="shared" ref="O523:O528" ca="1" si="225">IF(L523&gt;0,N523*100/L523,0)</f>
        <v>0</v>
      </c>
      <c r="P523" s="191">
        <f t="shared" ref="P523:P528" si="226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7">L527+L534</f>
        <v>0</v>
      </c>
      <c r="M524" s="90">
        <f t="shared" si="227"/>
        <v>0</v>
      </c>
      <c r="N524" s="90">
        <f t="shared" si="227"/>
        <v>0</v>
      </c>
      <c r="O524" s="90">
        <f t="shared" si="225"/>
        <v>0</v>
      </c>
      <c r="P524" s="90">
        <f t="shared" si="226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7"/>
        <v>0</v>
      </c>
      <c r="M525" s="90">
        <f t="shared" si="227"/>
        <v>0</v>
      </c>
      <c r="N525" s="90">
        <f t="shared" si="227"/>
        <v>0</v>
      </c>
      <c r="O525" s="90">
        <f t="shared" ca="1" si="225"/>
        <v>0</v>
      </c>
      <c r="P525" s="90">
        <f t="shared" si="226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8">L527+L528</f>
        <v>0</v>
      </c>
      <c r="M526" s="495">
        <f t="shared" si="228"/>
        <v>0</v>
      </c>
      <c r="N526" s="495">
        <f t="shared" si="228"/>
        <v>0</v>
      </c>
      <c r="O526" s="495">
        <f t="shared" ca="1" si="225"/>
        <v>0</v>
      </c>
      <c r="P526" s="495">
        <f t="shared" si="226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5"/>
        <v>0</v>
      </c>
      <c r="P527" s="90">
        <f t="shared" si="226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IFERROR(__xludf.DUMMYFUNCTION("IMPORTRANGE(""https://docs.google.com/spreadsheets/d/1QqKyyYR6Q21VydFLVH3TRQUabQu_ym0Zz7PgGX0-kHA/edit?usp=sharing"",""แผน!GQ70"")"),0)</f>
        <v>0</v>
      </c>
      <c r="M528" s="90">
        <v>0</v>
      </c>
      <c r="N528" s="90">
        <f>N529+N530+N531+N532</f>
        <v>0</v>
      </c>
      <c r="O528" s="90">
        <f t="shared" ca="1" si="225"/>
        <v>0</v>
      </c>
      <c r="P528" s="90">
        <f t="shared" si="226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29">L534+L535</f>
        <v>0</v>
      </c>
      <c r="M533" s="495">
        <f t="shared" si="229"/>
        <v>0</v>
      </c>
      <c r="N533" s="495">
        <f t="shared" si="229"/>
        <v>0</v>
      </c>
      <c r="O533" s="495">
        <f t="shared" ref="O533:O535" ca="1" si="230">IF(L533&gt;0,N533*100/L533,0)</f>
        <v>0</v>
      </c>
      <c r="P533" s="495">
        <f t="shared" ref="P533:P535" si="231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0"/>
        <v>0</v>
      </c>
      <c r="P534" s="90">
        <f t="shared" si="231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IFERROR(__xludf.DUMMYFUNCTION("IMPORTRANGE(""https://docs.google.com/spreadsheets/d/1QqKyyYR6Q21VydFLVH3TRQUabQu_ym0Zz7PgGX0-kHA/edit?usp=sharing"",""แผน!GT70"")"),0)</f>
        <v>0</v>
      </c>
      <c r="M535" s="90">
        <v>0</v>
      </c>
      <c r="N535" s="90">
        <v>0</v>
      </c>
      <c r="O535" s="90">
        <f t="shared" ca="1" si="230"/>
        <v>0</v>
      </c>
      <c r="P535" s="90">
        <f t="shared" si="231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IFERROR(__xludf.DUMMYFUNCTION("IMPORTRANGE(""https://docs.google.com/spreadsheets/d/1QqKyyYR6Q21VydFLVH3TRQUabQu_ym0Zz7PgGX0-kHA/edit?usp=sharing"",""แผน!GU70"")"),0)</f>
        <v>0</v>
      </c>
      <c r="J537" s="673">
        <f ca="1">IF(AND(J538=I538,J539=I539,J540=I540,J541=I541),I537,0)</f>
        <v>0</v>
      </c>
      <c r="K537" s="495">
        <f t="shared" ref="K537:K543" ca="1" si="232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IFERROR(__xludf.DUMMYFUNCTION("IMPORTRANGE(""https://docs.google.com/spreadsheets/d/1QqKyyYR6Q21VydFLVH3TRQUabQu_ym0Zz7PgGX0-kHA/edit?usp=sharing"",""แผน!GV70"")"),0)</f>
        <v>0</v>
      </c>
      <c r="J538" s="210">
        <v>0</v>
      </c>
      <c r="K538" s="495">
        <f t="shared" ca="1" si="232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IFERROR(__xludf.DUMMYFUNCTION("IMPORTRANGE(""https://docs.google.com/spreadsheets/d/1QqKyyYR6Q21VydFLVH3TRQUabQu_ym0Zz7PgGX0-kHA/edit?usp=sharing"",""แผน!GW70"")"),0)</f>
        <v>0</v>
      </c>
      <c r="J539" s="210">
        <v>0</v>
      </c>
      <c r="K539" s="495">
        <f t="shared" ca="1" si="232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IFERROR(__xludf.DUMMYFUNCTION("IMPORTRANGE(""https://docs.google.com/spreadsheets/d/1QqKyyYR6Q21VydFLVH3TRQUabQu_ym0Zz7PgGX0-kHA/edit?usp=sharing"",""แผน!GX70"")"),0)</f>
        <v>0</v>
      </c>
      <c r="J540" s="210">
        <v>0</v>
      </c>
      <c r="K540" s="495">
        <f t="shared" ca="1" si="232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IFERROR(__xludf.DUMMYFUNCTION("IMPORTRANGE(""https://docs.google.com/spreadsheets/d/1QqKyyYR6Q21VydFLVH3TRQUabQu_ym0Zz7PgGX0-kHA/edit?usp=sharing"",""แผน!GY70"")"),0)</f>
        <v>0</v>
      </c>
      <c r="J541" s="210">
        <v>0</v>
      </c>
      <c r="K541" s="495">
        <f t="shared" ca="1" si="232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IFERROR(__xludf.DUMMYFUNCTION("IMPORTRANGE(""https://docs.google.com/spreadsheets/d/1QqKyyYR6Q21VydFLVH3TRQUabQu_ym0Zz7PgGX0-kHA/edit?usp=sharing"",""แผน!GZ70"")"),0)</f>
        <v>0</v>
      </c>
      <c r="J542" s="210">
        <v>0</v>
      </c>
      <c r="K542" s="495">
        <f t="shared" ca="1" si="232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3">I559</f>
        <v>0</v>
      </c>
      <c r="J543" s="679">
        <f t="shared" si="233"/>
        <v>0</v>
      </c>
      <c r="K543" s="680">
        <f t="shared" ca="1" si="232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4">L545+L546</f>
        <v>248300</v>
      </c>
      <c r="M544" s="151">
        <f t="shared" si="234"/>
        <v>0</v>
      </c>
      <c r="N544" s="151">
        <f t="shared" si="234"/>
        <v>0</v>
      </c>
      <c r="O544" s="151">
        <f t="shared" ref="O544:O549" ca="1" si="235">IF(L544&gt;0,N544*100/L544,0)</f>
        <v>0</v>
      </c>
      <c r="P544" s="151">
        <f t="shared" ref="P544:P549" si="236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7">L548+L556</f>
        <v>0</v>
      </c>
      <c r="M545" s="90">
        <f t="shared" ref="M545:N546" si="238">M548+M555</f>
        <v>0</v>
      </c>
      <c r="N545" s="90">
        <f t="shared" si="238"/>
        <v>0</v>
      </c>
      <c r="O545" s="90">
        <f t="shared" si="235"/>
        <v>0</v>
      </c>
      <c r="P545" s="90">
        <f t="shared" si="236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7"/>
        <v>248300</v>
      </c>
      <c r="M546" s="90">
        <f t="shared" si="238"/>
        <v>0</v>
      </c>
      <c r="N546" s="90">
        <f t="shared" si="238"/>
        <v>0</v>
      </c>
      <c r="O546" s="90">
        <f t="shared" ca="1" si="235"/>
        <v>0</v>
      </c>
      <c r="P546" s="90">
        <f t="shared" si="236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39">L548+L549</f>
        <v>248300</v>
      </c>
      <c r="M547" s="495">
        <f t="shared" si="239"/>
        <v>0</v>
      </c>
      <c r="N547" s="495">
        <f t="shared" si="239"/>
        <v>0</v>
      </c>
      <c r="O547" s="495">
        <f t="shared" ca="1" si="235"/>
        <v>0</v>
      </c>
      <c r="P547" s="495">
        <f t="shared" si="236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5"/>
        <v>0</v>
      </c>
      <c r="P548" s="90">
        <f t="shared" si="236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IFERROR(__xludf.DUMMYFUNCTION("IMPORTRANGE(""https://docs.google.com/spreadsheets/d/1QqKyyYR6Q21VydFLVH3TRQUabQu_ym0Zz7PgGX0-kHA/edit?usp=sharing"",""แผน!HB70"")"),248300)</f>
        <v>248300</v>
      </c>
      <c r="M549" s="90">
        <v>0</v>
      </c>
      <c r="N549" s="90">
        <f>N550+N551+N552+N553+N554</f>
        <v>0</v>
      </c>
      <c r="O549" s="90">
        <f t="shared" ca="1" si="235"/>
        <v>0</v>
      </c>
      <c r="P549" s="90">
        <f t="shared" si="236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0">L556+L557</f>
        <v>0</v>
      </c>
      <c r="M555" s="495">
        <f t="shared" si="240"/>
        <v>0</v>
      </c>
      <c r="N555" s="495">
        <f t="shared" si="240"/>
        <v>0</v>
      </c>
      <c r="O555" s="495">
        <f t="shared" ref="O555:O557" ca="1" si="241">IF(L555&gt;0,N555*100/L555,0)</f>
        <v>0</v>
      </c>
      <c r="P555" s="495">
        <f t="shared" ref="P555:P557" si="242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1"/>
        <v>0</v>
      </c>
      <c r="P556" s="90">
        <f t="shared" si="242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IFERROR(__xludf.DUMMYFUNCTION("IMPORTRANGE(""https://docs.google.com/spreadsheets/d/1QqKyyYR6Q21VydFLVH3TRQUabQu_ym0Zz7PgGX0-kHA/edit?usp=sharing"",""แผน!HF70"")"),0)</f>
        <v>0</v>
      </c>
      <c r="M557" s="90">
        <v>0</v>
      </c>
      <c r="N557" s="90">
        <v>0</v>
      </c>
      <c r="O557" s="90">
        <f t="shared" ca="1" si="241"/>
        <v>0</v>
      </c>
      <c r="P557" s="90">
        <f t="shared" si="242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3">I576</f>
        <v>0</v>
      </c>
      <c r="J559" s="698">
        <f t="shared" si="243"/>
        <v>0</v>
      </c>
      <c r="K559" s="669">
        <f t="shared" ref="K559:K561" ca="1" si="244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IFERROR(__xludf.DUMMYFUNCTION("IMPORTRANGE(""https://docs.google.com/spreadsheets/d/1QqKyyYR6Q21VydFLVH3TRQUabQu_ym0Zz7PgGX0-kHA/edit?usp=sharing"",""แผน!HH70"")"),0)</f>
        <v>0</v>
      </c>
      <c r="J560" s="189">
        <f t="shared" ref="J560:J561" si="245">J562+J564+J566</f>
        <v>0</v>
      </c>
      <c r="K560" s="409">
        <f t="shared" ca="1" si="244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IFERROR(__xludf.DUMMYFUNCTION("IMPORTRANGE(""https://docs.google.com/spreadsheets/d/1QqKyyYR6Q21VydFLVH3TRQUabQu_ym0Zz7PgGX0-kHA/edit?usp=sharing"",""แผน!HG70"")"),0)</f>
        <v>0</v>
      </c>
      <c r="J561" s="189">
        <f t="shared" si="245"/>
        <v>0</v>
      </c>
      <c r="K561" s="409">
        <f t="shared" ca="1" si="244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IFERROR(__xludf.DUMMYFUNCTION("IMPORTRANGE(""https://docs.google.com/spreadsheets/d/1QqKyyYR6Q21VydFLVH3TRQUabQu_ym0Zz7PgGX0-kHA/edit?usp=sharing"",""แผน!HH70"")"),0)</f>
        <v>0</v>
      </c>
      <c r="J568" s="673">
        <f t="shared" ref="J568:J569" si="246">J570+J572+J574</f>
        <v>0</v>
      </c>
      <c r="K568" s="409">
        <f t="shared" ref="K568:K569" ca="1" si="247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IFERROR(__xludf.DUMMYFUNCTION("IMPORTRANGE(""https://docs.google.com/spreadsheets/d/1QqKyyYR6Q21VydFLVH3TRQUabQu_ym0Zz7PgGX0-kHA/edit?usp=sharing"",""แผน!HG70"")"),0)</f>
        <v>0</v>
      </c>
      <c r="J569" s="673">
        <f t="shared" si="246"/>
        <v>0</v>
      </c>
      <c r="K569" s="409">
        <f t="shared" ca="1" si="247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IFERROR(__xludf.DUMMYFUNCTION("IMPORTRANGE(""https://docs.google.com/spreadsheets/d/1QqKyyYR6Q21VydFLVH3TRQUabQu_ym0Zz7PgGX0-kHA/edit?usp=sharing"",""แผน!HH70"")"),0)</f>
        <v>0</v>
      </c>
      <c r="J576" s="673">
        <f t="shared" ref="J576:J577" si="248">J578+J580+J582+J588+J590</f>
        <v>0</v>
      </c>
      <c r="K576" s="409">
        <f t="shared" ref="K576:K577" ca="1" si="249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IFERROR(__xludf.DUMMYFUNCTION("IMPORTRANGE(""https://docs.google.com/spreadsheets/d/1QqKyyYR6Q21VydFLVH3TRQUabQu_ym0Zz7PgGX0-kHA/edit?usp=sharing"",""แผน!HG70"")"),0)</f>
        <v>0</v>
      </c>
      <c r="J577" s="673">
        <f t="shared" si="248"/>
        <v>0</v>
      </c>
      <c r="K577" s="409">
        <f t="shared" ca="1" si="249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0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0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1">I593</f>
        <v>640</v>
      </c>
      <c r="J592" s="698">
        <f t="shared" si="251"/>
        <v>0</v>
      </c>
      <c r="K592" s="669">
        <f t="shared" ref="K592:K594" ca="1" si="252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IFERROR(__xludf.DUMMYFUNCTION("IMPORTRANGE(""https://docs.google.com/spreadsheets/d/1QqKyyYR6Q21VydFLVH3TRQUabQu_ym0Zz7PgGX0-kHA/edit?usp=sharing"",""แผน!HJ70"")"),640)</f>
        <v>640</v>
      </c>
      <c r="J593" s="189">
        <f t="shared" ref="J593:J594" si="253">J595+J603+J609</f>
        <v>0</v>
      </c>
      <c r="K593" s="409">
        <f t="shared" ca="1" si="252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IFERROR(__xludf.DUMMYFUNCTION("IMPORTRANGE(""https://docs.google.com/spreadsheets/d/1QqKyyYR6Q21VydFLVH3TRQUabQu_ym0Zz7PgGX0-kHA/edit?usp=sharing"",""แผน!HI70"")"),121)</f>
        <v>121</v>
      </c>
      <c r="J594" s="189">
        <f t="shared" si="253"/>
        <v>0</v>
      </c>
      <c r="K594" s="409">
        <f t="shared" ca="1" si="252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4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4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5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5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6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7">J614+J616</f>
        <v>0</v>
      </c>
      <c r="K612" s="707">
        <f t="shared" si="256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7"/>
        <v>0</v>
      </c>
      <c r="K613" s="707">
        <f t="shared" si="256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IFERROR(__xludf.DUMMYFUNCTION("IMPORTRANGE(""https://docs.google.com/spreadsheets/d/1QqKyyYR6Q21VydFLVH3TRQUabQu_ym0Zz7PgGX0-kHA/edit?usp=sharing"",""แผน!HL70"")"),0)</f>
        <v>0</v>
      </c>
      <c r="J620" s="718">
        <f t="shared" ref="J620:J621" si="258">J622+J624+J626</f>
        <v>0</v>
      </c>
      <c r="K620" s="719">
        <f t="shared" ref="K620:K621" ca="1" si="259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IFERROR(__xludf.DUMMYFUNCTION("IMPORTRANGE(""https://docs.google.com/spreadsheets/d/1QqKyyYR6Q21VydFLVH3TRQUabQu_ym0Zz7PgGX0-kHA/edit?usp=sharing"",""แผน!HK70"")"),0)</f>
        <v>0</v>
      </c>
      <c r="J621" s="718">
        <f t="shared" si="258"/>
        <v>0</v>
      </c>
      <c r="K621" s="719">
        <f t="shared" ca="1" si="259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0">I651</f>
        <v>500</v>
      </c>
      <c r="J628" s="731">
        <f t="shared" ca="1" si="260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1">L630+L631</f>
        <v>565480</v>
      </c>
      <c r="M629" s="191">
        <f t="shared" si="261"/>
        <v>0</v>
      </c>
      <c r="N629" s="191">
        <f t="shared" si="261"/>
        <v>0</v>
      </c>
      <c r="O629" s="191">
        <f t="shared" ref="O629:O634" ca="1" si="262">IF(L629&gt;0,N629*100/L629,0)</f>
        <v>0</v>
      </c>
      <c r="P629" s="191">
        <f t="shared" ref="P629:P634" si="263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4">L633+L640</f>
        <v>0</v>
      </c>
      <c r="M630" s="90">
        <f t="shared" si="264"/>
        <v>0</v>
      </c>
      <c r="N630" s="90">
        <f t="shared" si="264"/>
        <v>0</v>
      </c>
      <c r="O630" s="90">
        <f t="shared" si="262"/>
        <v>0</v>
      </c>
      <c r="P630" s="90">
        <f t="shared" si="263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4"/>
        <v>565480</v>
      </c>
      <c r="M631" s="90">
        <f t="shared" si="264"/>
        <v>0</v>
      </c>
      <c r="N631" s="90">
        <f t="shared" si="264"/>
        <v>0</v>
      </c>
      <c r="O631" s="90">
        <f t="shared" ca="1" si="262"/>
        <v>0</v>
      </c>
      <c r="P631" s="90">
        <f t="shared" si="263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5">L633+L634</f>
        <v>565480</v>
      </c>
      <c r="M632" s="495">
        <f t="shared" si="265"/>
        <v>0</v>
      </c>
      <c r="N632" s="495">
        <f t="shared" si="265"/>
        <v>0</v>
      </c>
      <c r="O632" s="495">
        <f t="shared" ca="1" si="262"/>
        <v>0</v>
      </c>
      <c r="P632" s="495">
        <f t="shared" si="263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2"/>
        <v>0</v>
      </c>
      <c r="P633" s="90">
        <f t="shared" si="263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IFERROR(__xludf.DUMMYFUNCTION("IMPORTRANGE(""https://docs.google.com/spreadsheets/d/1QqKyyYR6Q21VydFLVH3TRQUabQu_ym0Zz7PgGX0-kHA/edit?usp=sharing"",""แผน!HN70"")"),565480)</f>
        <v>565480</v>
      </c>
      <c r="M634" s="90">
        <v>0</v>
      </c>
      <c r="N634" s="90">
        <f>N635+N636+N637+N638</f>
        <v>0</v>
      </c>
      <c r="O634" s="90">
        <f t="shared" ca="1" si="262"/>
        <v>0</v>
      </c>
      <c r="P634" s="90">
        <f t="shared" si="263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6">L640+L641</f>
        <v>0</v>
      </c>
      <c r="M639" s="495">
        <f t="shared" si="266"/>
        <v>0</v>
      </c>
      <c r="N639" s="495">
        <f t="shared" si="266"/>
        <v>0</v>
      </c>
      <c r="O639" s="495">
        <f t="shared" ref="O639:O641" ca="1" si="267">IF(L639&gt;0,N639*100/L639,0)</f>
        <v>0</v>
      </c>
      <c r="P639" s="495">
        <f t="shared" ref="P639:P641" si="268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7"/>
        <v>0</v>
      </c>
      <c r="P640" s="90">
        <f t="shared" si="268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IFERROR(__xludf.DUMMYFUNCTION("IMPORTRANGE(""https://docs.google.com/spreadsheets/d/1QqKyyYR6Q21VydFLVH3TRQUabQu_ym0Zz7PgGX0-kHA/edit?usp=sharing"",""แผน!HQ70"")"),0)</f>
        <v>0</v>
      </c>
      <c r="M641" s="90">
        <v>0</v>
      </c>
      <c r="N641" s="90">
        <v>0</v>
      </c>
      <c r="O641" s="90">
        <f t="shared" ca="1" si="267"/>
        <v>0</v>
      </c>
      <c r="P641" s="90">
        <f t="shared" si="268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IFERROR(__xludf.DUMMYFUNCTION("IMPORTRANGE(""https://docs.google.com/spreadsheets/d/1QqKyyYR6Q21VydFLVH3TRQUabQu_ym0Zz7PgGX0-kHA/edit?usp=sharing"",""แผน!HR70"")"),0)</f>
        <v>0</v>
      </c>
      <c r="J643" s="210">
        <v>0</v>
      </c>
      <c r="K643" s="159">
        <f t="shared" ref="K643:K652" ca="1" si="269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IFERROR(__xludf.DUMMYFUNCTION("IMPORTRANGE(""https://docs.google.com/spreadsheets/d/1QqKyyYR6Q21VydFLVH3TRQUabQu_ym0Zz7PgGX0-kHA/edit?usp=sharing"",""แผน!HR70"")"),0)</f>
        <v>0</v>
      </c>
      <c r="J644" s="210">
        <v>0</v>
      </c>
      <c r="K644" s="159">
        <f t="shared" ca="1" si="269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IFERROR(__xludf.DUMMYFUNCTION("IMPORTRANGE(""https://docs.google.com/spreadsheets/d/1XWAQStnk-4SwqDmLtmXYiTMKHgktTP8We1SCoS47DrQ/edit?usp=sharing"",""จัดที่ดิน!AS70"")"),26)</f>
        <v>26</v>
      </c>
      <c r="K645" s="159">
        <f t="shared" si="269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IFERROR(__xludf.DUMMYFUNCTION("IMPORTRANGE(""https://docs.google.com/spreadsheets/d/1XWAQStnk-4SwqDmLtmXYiTMKHgktTP8We1SCoS47DrQ/edit?usp=sharing"",""จัดที่ดิน!AT70"")"),31.66)</f>
        <v>31.66</v>
      </c>
      <c r="K646" s="495">
        <f t="shared" si="269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IFERROR(__xludf.DUMMYFUNCTION("IMPORTRANGE(""https://docs.google.com/spreadsheets/d/1QqKyyYR6Q21VydFLVH3TRQUabQu_ym0Zz7PgGX0-kHA/edit?usp=sharing"",""แผน!HS70"")"),500)</f>
        <v>500</v>
      </c>
      <c r="J647" s="264">
        <f ca="1">IFERROR(__xludf.DUMMYFUNCTION("IMPORTRANGE(""https://docs.google.com/spreadsheets/d/1XWAQStnk-4SwqDmLtmXYiTMKHgktTP8We1SCoS47DrQ/edit?usp=sharing"",""จัดที่ดิน!AU70"")"),31)</f>
        <v>31</v>
      </c>
      <c r="K647" s="159">
        <f t="shared" ca="1" si="269"/>
        <v>6.2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IFERROR(__xludf.DUMMYFUNCTION("IMPORTRANGE(""https://docs.google.com/spreadsheets/d/1XWAQStnk-4SwqDmLtmXYiTMKHgktTP8We1SCoS47DrQ/edit?usp=sharing"",""จัดที่ดิน!AV70"")"),37.56)</f>
        <v>37.56</v>
      </c>
      <c r="K648" s="495">
        <f t="shared" si="269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IFERROR(__xludf.DUMMYFUNCTION("IMPORTRANGE(""https://docs.google.com/spreadsheets/d/1QqKyyYR6Q21VydFLVH3TRQUabQu_ym0Zz7PgGX0-kHA/edit?usp=sharing"",""แผน!HS70"")"),500)</f>
        <v>500</v>
      </c>
      <c r="J649" s="264">
        <f ca="1">IFERROR(__xludf.DUMMYFUNCTION("IMPORTRANGE(""https://docs.google.com/spreadsheets/d/1XWAQStnk-4SwqDmLtmXYiTMKHgktTP8We1SCoS47DrQ/edit?usp=sharing"",""จัดที่ดิน!AW70"")"),0)</f>
        <v>0</v>
      </c>
      <c r="K649" s="159">
        <f t="shared" ca="1" si="269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IFERROR(__xludf.DUMMYFUNCTION("IMPORTRANGE(""https://docs.google.com/spreadsheets/d/1XWAQStnk-4SwqDmLtmXYiTMKHgktTP8We1SCoS47DrQ/edit?usp=sharing"",""จัดที่ดิน!AX70"")"),0)</f>
        <v>0</v>
      </c>
      <c r="K650" s="495">
        <f t="shared" si="269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IFERROR(__xludf.DUMMYFUNCTION("IMPORTRANGE(""https://docs.google.com/spreadsheets/d/1QqKyyYR6Q21VydFLVH3TRQUabQu_ym0Zz7PgGX0-kHA/edit?usp=sharing"",""แผน!HS70"")"),500)</f>
        <v>500</v>
      </c>
      <c r="J651" s="264">
        <f ca="1">IFERROR(__xludf.DUMMYFUNCTION("IMPORTRANGE(""https://docs.google.com/spreadsheets/d/1XWAQStnk-4SwqDmLtmXYiTMKHgktTP8We1SCoS47DrQ/edit?usp=sharing"",""จัดที่ดิน!AY70"")"),0)</f>
        <v>0</v>
      </c>
      <c r="K651" s="159">
        <f t="shared" ca="1" si="269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IFERROR(__xludf.DUMMYFUNCTION("IMPORTRANGE(""https://docs.google.com/spreadsheets/d/1XWAQStnk-4SwqDmLtmXYiTMKHgktTP8We1SCoS47DrQ/edit?usp=sharing"",""จัดที่ดิน!AZ70"")"),0)</f>
        <v>0</v>
      </c>
      <c r="K652" s="499">
        <f t="shared" si="269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0">I669</f>
        <v>50</v>
      </c>
      <c r="J654" s="698">
        <f t="shared" si="270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1">L656+L657</f>
        <v>11000</v>
      </c>
      <c r="M655" s="191">
        <f t="shared" si="271"/>
        <v>0</v>
      </c>
      <c r="N655" s="191">
        <f t="shared" si="271"/>
        <v>0</v>
      </c>
      <c r="O655" s="191">
        <f t="shared" ref="O655:O660" ca="1" si="272">IF(L655&gt;0,N655*100/L655,0)</f>
        <v>0</v>
      </c>
      <c r="P655" s="191">
        <f t="shared" ref="P655:P660" si="273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4">L659+L666</f>
        <v>0</v>
      </c>
      <c r="M656" s="90">
        <f t="shared" si="274"/>
        <v>0</v>
      </c>
      <c r="N656" s="90">
        <f t="shared" si="274"/>
        <v>0</v>
      </c>
      <c r="O656" s="90">
        <f t="shared" si="272"/>
        <v>0</v>
      </c>
      <c r="P656" s="90">
        <f t="shared" si="273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4"/>
        <v>11000</v>
      </c>
      <c r="M657" s="90">
        <f t="shared" si="274"/>
        <v>0</v>
      </c>
      <c r="N657" s="90">
        <f t="shared" si="274"/>
        <v>0</v>
      </c>
      <c r="O657" s="90">
        <f t="shared" ca="1" si="272"/>
        <v>0</v>
      </c>
      <c r="P657" s="90">
        <f t="shared" si="273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5">L659+L660</f>
        <v>11000</v>
      </c>
      <c r="M658" s="495">
        <f t="shared" si="275"/>
        <v>0</v>
      </c>
      <c r="N658" s="495">
        <f t="shared" si="275"/>
        <v>0</v>
      </c>
      <c r="O658" s="495">
        <f t="shared" ca="1" si="272"/>
        <v>0</v>
      </c>
      <c r="P658" s="495">
        <f t="shared" si="273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2"/>
        <v>0</v>
      </c>
      <c r="P659" s="90">
        <f t="shared" si="273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IFERROR(__xludf.DUMMYFUNCTION("IMPORTRANGE(""https://docs.google.com/spreadsheets/d/1QqKyyYR6Q21VydFLVH3TRQUabQu_ym0Zz7PgGX0-kHA/edit?usp=sharing"",""แผน!HV70"")"),11000)</f>
        <v>11000</v>
      </c>
      <c r="M660" s="90">
        <v>0</v>
      </c>
      <c r="N660" s="90">
        <f>N661+N662+N663+N664</f>
        <v>0</v>
      </c>
      <c r="O660" s="90">
        <f t="shared" ca="1" si="272"/>
        <v>0</v>
      </c>
      <c r="P660" s="90">
        <f t="shared" si="273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6">L666+L667</f>
        <v>0</v>
      </c>
      <c r="M665" s="495">
        <f t="shared" si="276"/>
        <v>0</v>
      </c>
      <c r="N665" s="495">
        <f t="shared" si="276"/>
        <v>0</v>
      </c>
      <c r="O665" s="495">
        <f t="shared" ref="O665:O667" si="277">IF(L665&gt;0,N665*100/L665,0)</f>
        <v>0</v>
      </c>
      <c r="P665" s="495">
        <f t="shared" ref="P665:P667" si="278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7"/>
        <v>0</v>
      </c>
      <c r="P666" s="90">
        <f t="shared" si="278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7"/>
        <v>0</v>
      </c>
      <c r="P667" s="90">
        <f t="shared" si="278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IFERROR(__xludf.DUMMYFUNCTION("IMPORTRANGE(""https://docs.google.com/spreadsheets/d/1QqKyyYR6Q21VydFLVH3TRQUabQu_ym0Zz7PgGX0-kHA/edit?usp=sharing"",""แผน!IA70"")"),50)</f>
        <v>50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IFERROR(__xludf.DUMMYFUNCTION("IMPORTRANGE(""https://docs.google.com/spreadsheets/d/1QqKyyYR6Q21VydFLVH3TRQUabQu_ym0Zz7PgGX0-kHA/edit?usp=sharing"",""แผน!HZ70"")"),5)</f>
        <v>5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IFERROR(__xludf.DUMMYFUNCTION("IMPORTRANGE(""https://docs.google.com/spreadsheets/d/1QqKyyYR6Q21VydFLVH3TRQUabQu_ym0Zz7PgGX0-kHA/edit?usp=sharing"",""แผน!HZ70"")"),5)</f>
        <v>5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79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79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79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79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IFERROR(__xludf.DUMMYFUNCTION("IMPORTRANGE(""https://docs.google.com/spreadsheets/d/1QqKyyYR6Q21VydFLVH3TRQUabQu_ym0Zz7PgGX0-kHA/edit?usp=sharing"",""แผน!IB70"")"),0)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0">L686+L687</f>
        <v>9260</v>
      </c>
      <c r="M685" s="191">
        <f t="shared" si="280"/>
        <v>0</v>
      </c>
      <c r="N685" s="191">
        <f t="shared" si="280"/>
        <v>0</v>
      </c>
      <c r="O685" s="191">
        <f t="shared" ref="O685:O688" ca="1" si="281">IF(L685&gt;0,N685*100/L685,0)</f>
        <v>0</v>
      </c>
      <c r="P685" s="191">
        <f t="shared" ref="P685:P688" si="282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3">L689+L696</f>
        <v>0</v>
      </c>
      <c r="M686" s="90">
        <f t="shared" si="283"/>
        <v>0</v>
      </c>
      <c r="N686" s="90">
        <f t="shared" si="283"/>
        <v>0</v>
      </c>
      <c r="O686" s="90">
        <f t="shared" si="281"/>
        <v>0</v>
      </c>
      <c r="P686" s="90">
        <f t="shared" si="282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3"/>
        <v>9260</v>
      </c>
      <c r="M687" s="90">
        <f t="shared" si="283"/>
        <v>0</v>
      </c>
      <c r="N687" s="90">
        <f t="shared" si="283"/>
        <v>0</v>
      </c>
      <c r="O687" s="90">
        <f t="shared" ca="1" si="281"/>
        <v>0</v>
      </c>
      <c r="P687" s="90">
        <f t="shared" si="282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4">L689+L690</f>
        <v>9260</v>
      </c>
      <c r="M688" s="495">
        <f t="shared" si="284"/>
        <v>0</v>
      </c>
      <c r="N688" s="495">
        <f t="shared" si="284"/>
        <v>0</v>
      </c>
      <c r="O688" s="495">
        <f t="shared" ca="1" si="281"/>
        <v>0</v>
      </c>
      <c r="P688" s="495">
        <f t="shared" si="282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IFERROR(__xludf.DUMMYFUNCTION("IMPORTRANGE(""https://docs.google.com/spreadsheets/d/1QqKyyYR6Q21VydFLVH3TRQUabQu_ym0Zz7PgGX0-kHA/edit?usp=sharing"",""แผน!HW70"")"),9260)</f>
        <v>9260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5">L696+L697</f>
        <v>0</v>
      </c>
      <c r="M695" s="495">
        <f t="shared" si="285"/>
        <v>0</v>
      </c>
      <c r="N695" s="495">
        <f t="shared" si="285"/>
        <v>0</v>
      </c>
      <c r="O695" s="495">
        <f t="shared" ref="O695:O697" si="286">IF(L695&gt;0,N695*100/L695,0)</f>
        <v>0</v>
      </c>
      <c r="P695" s="495">
        <f t="shared" ref="P695:P697" si="287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6"/>
        <v>0</v>
      </c>
      <c r="P696" s="90">
        <f t="shared" si="287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6"/>
        <v>0</v>
      </c>
      <c r="P697" s="90">
        <f t="shared" si="287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IFERROR(__xludf.DUMMYFUNCTION("IMPORTRANGE(""https://docs.google.com/spreadsheets/d/1QqKyyYR6Q21VydFLVH3TRQUabQu_ym0Zz7PgGX0-kHA/edit?usp=sharing"",""แผน!IC70"")"),0)</f>
        <v>0</v>
      </c>
      <c r="J699" s="264">
        <f ca="1">IFERROR(__xludf.DUMMYFUNCTION("IMPORTRANGE(""https://docs.google.com/spreadsheets/d/1XWAQStnk-4SwqDmLtmXYiTMKHgktTP8We1SCoS47DrQ/edit?usp=sharing"",""จัดที่ดิน!BB70"")"),0)</f>
        <v>0</v>
      </c>
      <c r="K699" s="495">
        <f t="shared" ref="K699:K701" ca="1" si="288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IFERROR(__xludf.DUMMYFUNCTION("IMPORTRANGE(""https://docs.google.com/spreadsheets/d/1QqKyyYR6Q21VydFLVH3TRQUabQu_ym0Zz7PgGX0-kHA/edit?usp=sharing"",""แผน!ID70"")"),0)</f>
        <v>0</v>
      </c>
      <c r="J700" s="264">
        <f ca="1">IFERROR(__xludf.DUMMYFUNCTION("IMPORTRANGE(""https://docs.google.com/spreadsheets/d/1XWAQStnk-4SwqDmLtmXYiTMKHgktTP8We1SCoS47DrQ/edit?usp=sharing"",""จัดที่ดิน!BD70"")"),0)</f>
        <v>0</v>
      </c>
      <c r="K700" s="495">
        <f t="shared" ca="1" si="288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IFERROR(__xludf.DUMMYFUNCTION("IMPORTRANGE(""https://docs.google.com/spreadsheets/d/1QqKyyYR6Q21VydFLVH3TRQUabQu_ym0Zz7PgGX0-kHA/edit?usp=sharing"",""แผน!IE70"")"),23)</f>
        <v>23</v>
      </c>
      <c r="J701" s="673">
        <f>J704+J707</f>
        <v>0</v>
      </c>
      <c r="K701" s="191">
        <f t="shared" ca="1" si="288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IFERROR(__xludf.DUMMYFUNCTION("IMPORTRANGE(""https://docs.google.com/spreadsheets/d/1QqKyyYR6Q21VydFLVH3TRQUabQu_ym0Zz7PgGX0-kHA/edit?usp=sharing"",""แผน!IF70"")"),23)</f>
        <v>23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IFERROR(__xludf.DUMMYFUNCTION("IMPORTRANGE(""https://docs.google.com/spreadsheets/d/1QqKyyYR6Q21VydFLVH3TRQUabQu_ym0Zz7PgGX0-kHA/edit?usp=sharing"",""แผน!IG70"")"),0)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IFERROR(__xludf.DUMMYFUNCTION("IMPORTRANGE(""https://docs.google.com/spreadsheets/d/1QqKyyYR6Q21VydFLVH3TRQUabQu_ym0Zz7PgGX0-kHA/edit?usp=sharing"",""แผน!IH70"")"),0)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IFERROR(__xludf.DUMMYFUNCTION("IMPORTRANGE(""https://docs.google.com/spreadsheets/d/1XWAQStnk-4SwqDmLtmXYiTMKHgktTP8We1SCoS47DrQ/edit?usp=sharing"",""จัดที่ดิน!BF70"")"),0)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IFERROR(__xludf.DUMMYFUNCTION("IMPORTRANGE(""https://docs.google.com/spreadsheets/d/1XWAQStnk-4SwqDmLtmXYiTMKHgktTP8We1SCoS47DrQ/edit?usp=sharing"",""จัดที่ดิน!BG70"")"),0)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IFERROR(__xludf.DUMMYFUNCTION("IMPORTRANGE(""https://docs.google.com/spreadsheets/d/1QqKyyYR6Q21VydFLVH3TRQUabQu_ym0Zz7PgGX0-kHA/edit?usp=sharing"",""แผน!II70"")"),200)</f>
        <v>200</v>
      </c>
      <c r="J720" s="264">
        <f ca="1">IFERROR(__xludf.DUMMYFUNCTION("IMPORTRANGE(""https://docs.google.com/spreadsheets/d/1XWAQStnk-4SwqDmLtmXYiTMKHgktTP8We1SCoS47DrQ/edit?usp=sharing"",""จัดที่ดิน!BH70"")"),0)</f>
        <v>0</v>
      </c>
      <c r="K720" s="495">
        <f t="shared" ref="K720:K723" ca="1" si="289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IFERROR(__xludf.DUMMYFUNCTION("IMPORTRANGE(""https://docs.google.com/spreadsheets/d/1QqKyyYR6Q21VydFLVH3TRQUabQu_ym0Zz7PgGX0-kHA/edit?usp=sharing"",""แผน!IJ70"")"),15)</f>
        <v>15</v>
      </c>
      <c r="J721" s="673">
        <f ca="1">J723+J726</f>
        <v>0</v>
      </c>
      <c r="K721" s="191">
        <f t="shared" ca="1" si="289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IFERROR(__xludf.DUMMYFUNCTION("IMPORTRANGE(""https://docs.google.com/spreadsheets/d/1QqKyyYR6Q21VydFLVH3TRQUabQu_ym0Zz7PgGX0-kHA/edit?usp=sharing"",""แผน!IK70"")"),150)</f>
        <v>150</v>
      </c>
      <c r="J722" s="673">
        <f ca="1">J725+J728</f>
        <v>0</v>
      </c>
      <c r="K722" s="191">
        <f t="shared" ca="1" si="289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IFERROR(__xludf.DUMMYFUNCTION("IMPORTRANGE(""https://docs.google.com/spreadsheets/d/1QqKyyYR6Q21VydFLVH3TRQUabQu_ym0Zz7PgGX0-kHA/edit?usp=sharing"",""แผน!IL70"")"),15)</f>
        <v>15</v>
      </c>
      <c r="J723" s="264">
        <f ca="1">IFERROR(__xludf.DUMMYFUNCTION("IMPORTRANGE(""https://docs.google.com/spreadsheets/d/1XWAQStnk-4SwqDmLtmXYiTMKHgktTP8We1SCoS47DrQ/edit?usp=sharing"",""จัดที่ดิน!BM70"")"),0)</f>
        <v>0</v>
      </c>
      <c r="K723" s="495">
        <f t="shared" ca="1" si="289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IFERROR(__xludf.DUMMYFUNCTION("IMPORTRANGE(""https://docs.google.com/spreadsheets/d/1XWAQStnk-4SwqDmLtmXYiTMKHgktTP8We1SCoS47DrQ/edit?usp=sharing"",""จัดที่ดิน!BN70"")"),0)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IFERROR(__xludf.DUMMYFUNCTION("IMPORTRANGE(""https://docs.google.com/spreadsheets/d/1QqKyyYR6Q21VydFLVH3TRQUabQu_ym0Zz7PgGX0-kHA/edit?usp=sharing"",""แผน!IM70"")"),150)</f>
        <v>150</v>
      </c>
      <c r="J725" s="264">
        <f ca="1">IFERROR(__xludf.DUMMYFUNCTION("IMPORTRANGE(""https://docs.google.com/spreadsheets/d/1XWAQStnk-4SwqDmLtmXYiTMKHgktTP8We1SCoS47DrQ/edit?usp=sharing"",""จัดที่ดิน!BO70"")"),0)</f>
        <v>0</v>
      </c>
      <c r="K725" s="495">
        <f t="shared" ref="K725:K726" ca="1" si="290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IFERROR(__xludf.DUMMYFUNCTION("IMPORTRANGE(""https://docs.google.com/spreadsheets/d/1QqKyyYR6Q21VydFLVH3TRQUabQu_ym0Zz7PgGX0-kHA/edit?usp=sharing"",""แผน!IN70"")"),0)</f>
        <v>0</v>
      </c>
      <c r="J726" s="264">
        <f ca="1">IFERROR(__xludf.DUMMYFUNCTION("IMPORTRANGE(""https://docs.google.com/spreadsheets/d/1XWAQStnk-4SwqDmLtmXYiTMKHgktTP8We1SCoS47DrQ/edit?usp=sharing"",""จัดที่ดิน!BR70"")"),0)</f>
        <v>0</v>
      </c>
      <c r="K726" s="495">
        <f t="shared" ca="1" si="290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IFERROR(__xludf.DUMMYFUNCTION("IMPORTRANGE(""https://docs.google.com/spreadsheets/d/1XWAQStnk-4SwqDmLtmXYiTMKHgktTP8We1SCoS47DrQ/edit?usp=sharing"",""จัดที่ดิน!BS70"")"),0)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IFERROR(__xludf.DUMMYFUNCTION("IMPORTRANGE(""https://docs.google.com/spreadsheets/d/1QqKyyYR6Q21VydFLVH3TRQUabQu_ym0Zz7PgGX0-kHA/edit?usp=sharing"",""แผน!IO70"")"),0)</f>
        <v>0</v>
      </c>
      <c r="J728" s="264">
        <f ca="1">IFERROR(__xludf.DUMMYFUNCTION("IMPORTRANGE(""https://docs.google.com/spreadsheets/d/1XWAQStnk-4SwqDmLtmXYiTMKHgktTP8We1SCoS47DrQ/edit?usp=sharing"",""จัดที่ดิน!BT70"")"),0)</f>
        <v>0</v>
      </c>
      <c r="K728" s="495">
        <f t="shared" ref="K728:K729" ca="1" si="291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IFERROR(__xludf.DUMMYFUNCTION("IMPORTRANGE(""https://docs.google.com/spreadsheets/d/1QqKyyYR6Q21VydFLVH3TRQUabQu_ym0Zz7PgGX0-kHA/edit?usp=sharing"",""แผน!IP70"")"),0)</f>
        <v>0</v>
      </c>
      <c r="J729" s="673">
        <f>J732+J735</f>
        <v>0</v>
      </c>
      <c r="K729" s="191">
        <f t="shared" ca="1" si="291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2">L738+L739</f>
        <v>0</v>
      </c>
      <c r="M737" s="639">
        <f t="shared" si="292"/>
        <v>0</v>
      </c>
      <c r="N737" s="639">
        <f t="shared" si="292"/>
        <v>0</v>
      </c>
      <c r="O737" s="639">
        <f t="shared" ref="O737:O742" si="293">IF(L737&gt;0,N737*100/L737,0)</f>
        <v>0</v>
      </c>
      <c r="P737" s="639">
        <f t="shared" ref="P737:P742" si="294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5">L741+L748</f>
        <v>0</v>
      </c>
      <c r="M738" s="90">
        <f t="shared" si="295"/>
        <v>0</v>
      </c>
      <c r="N738" s="90">
        <f t="shared" si="295"/>
        <v>0</v>
      </c>
      <c r="O738" s="90">
        <f t="shared" si="293"/>
        <v>0</v>
      </c>
      <c r="P738" s="90">
        <f t="shared" si="294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5"/>
        <v>0</v>
      </c>
      <c r="M739" s="90">
        <f t="shared" si="295"/>
        <v>0</v>
      </c>
      <c r="N739" s="90">
        <f t="shared" si="295"/>
        <v>0</v>
      </c>
      <c r="O739" s="90">
        <f t="shared" si="293"/>
        <v>0</v>
      </c>
      <c r="P739" s="90">
        <f t="shared" si="294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6">L741+L742</f>
        <v>0</v>
      </c>
      <c r="M740" s="639">
        <f t="shared" si="296"/>
        <v>0</v>
      </c>
      <c r="N740" s="639">
        <f t="shared" si="296"/>
        <v>0</v>
      </c>
      <c r="O740" s="639">
        <f t="shared" si="293"/>
        <v>0</v>
      </c>
      <c r="P740" s="639">
        <f t="shared" si="294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3"/>
        <v>0</v>
      </c>
      <c r="P741" s="90">
        <f t="shared" si="294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3"/>
        <v>0</v>
      </c>
      <c r="P742" s="90">
        <f t="shared" si="294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7">L748+L749</f>
        <v>0</v>
      </c>
      <c r="M747" s="639">
        <f t="shared" si="297"/>
        <v>0</v>
      </c>
      <c r="N747" s="639">
        <f t="shared" si="297"/>
        <v>0</v>
      </c>
      <c r="O747" s="639">
        <f t="shared" ref="O747:O749" si="298">IF(L747&gt;0,N747*100/L747,0)</f>
        <v>0</v>
      </c>
      <c r="P747" s="639">
        <f t="shared" ref="P747:P749" si="299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8"/>
        <v>0</v>
      </c>
      <c r="P748" s="90">
        <f t="shared" si="299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8"/>
        <v>0</v>
      </c>
      <c r="P749" s="90">
        <f t="shared" si="299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0">L755+L756</f>
        <v>0</v>
      </c>
      <c r="M754" s="639">
        <f t="shared" si="300"/>
        <v>0</v>
      </c>
      <c r="N754" s="639">
        <f t="shared" si="300"/>
        <v>0</v>
      </c>
      <c r="O754" s="639">
        <f t="shared" ref="O754:O759" si="301">IF(L754&gt;0,N754*100/L754,0)</f>
        <v>0</v>
      </c>
      <c r="P754" s="639">
        <f t="shared" ref="P754:P759" si="302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3">L758+L765</f>
        <v>0</v>
      </c>
      <c r="M755" s="90">
        <f t="shared" si="303"/>
        <v>0</v>
      </c>
      <c r="N755" s="90">
        <f t="shared" si="303"/>
        <v>0</v>
      </c>
      <c r="O755" s="90">
        <f t="shared" si="301"/>
        <v>0</v>
      </c>
      <c r="P755" s="90">
        <f t="shared" si="302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3"/>
        <v>0</v>
      </c>
      <c r="M756" s="90">
        <f t="shared" si="303"/>
        <v>0</v>
      </c>
      <c r="N756" s="90">
        <f t="shared" si="303"/>
        <v>0</v>
      </c>
      <c r="O756" s="90">
        <f t="shared" si="301"/>
        <v>0</v>
      </c>
      <c r="P756" s="90">
        <f t="shared" si="302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4">L758+L759</f>
        <v>0</v>
      </c>
      <c r="M757" s="639">
        <f t="shared" si="304"/>
        <v>0</v>
      </c>
      <c r="N757" s="639">
        <f t="shared" si="304"/>
        <v>0</v>
      </c>
      <c r="O757" s="639">
        <f t="shared" si="301"/>
        <v>0</v>
      </c>
      <c r="P757" s="639">
        <f t="shared" si="302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1"/>
        <v>0</v>
      </c>
      <c r="P758" s="90">
        <f t="shared" si="302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1"/>
        <v>0</v>
      </c>
      <c r="P759" s="90">
        <f t="shared" si="302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5">L765+L766</f>
        <v>0</v>
      </c>
      <c r="M764" s="639">
        <f t="shared" si="305"/>
        <v>0</v>
      </c>
      <c r="N764" s="639">
        <f t="shared" si="305"/>
        <v>0</v>
      </c>
      <c r="O764" s="639">
        <f t="shared" ref="O764:O766" si="306">IF(L764&gt;0,N764*100/L764,0)</f>
        <v>0</v>
      </c>
      <c r="P764" s="639">
        <f t="shared" ref="P764:P766" si="307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6"/>
        <v>0</v>
      </c>
      <c r="P765" s="90">
        <f t="shared" si="307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6"/>
        <v>0</v>
      </c>
      <c r="P766" s="90">
        <f t="shared" si="307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8">L771+L772</f>
        <v>0</v>
      </c>
      <c r="M770" s="639">
        <f t="shared" si="308"/>
        <v>0</v>
      </c>
      <c r="N770" s="639">
        <f t="shared" si="308"/>
        <v>0</v>
      </c>
      <c r="O770" s="639">
        <f t="shared" ref="O770:O775" si="309">IF(L770&gt;0,N770*100/L770,0)</f>
        <v>0</v>
      </c>
      <c r="P770" s="639">
        <f t="shared" ref="P770:P775" si="310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1">L774+L781</f>
        <v>0</v>
      </c>
      <c r="M771" s="90">
        <f t="shared" si="311"/>
        <v>0</v>
      </c>
      <c r="N771" s="90">
        <f t="shared" si="311"/>
        <v>0</v>
      </c>
      <c r="O771" s="90">
        <f t="shared" si="309"/>
        <v>0</v>
      </c>
      <c r="P771" s="90">
        <f t="shared" si="310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1"/>
        <v>0</v>
      </c>
      <c r="M772" s="90">
        <f t="shared" si="311"/>
        <v>0</v>
      </c>
      <c r="N772" s="90">
        <f t="shared" si="311"/>
        <v>0</v>
      </c>
      <c r="O772" s="90">
        <f t="shared" si="309"/>
        <v>0</v>
      </c>
      <c r="P772" s="90">
        <f t="shared" si="310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2">L774+L775</f>
        <v>0</v>
      </c>
      <c r="M773" s="639">
        <f t="shared" si="312"/>
        <v>0</v>
      </c>
      <c r="N773" s="639">
        <f t="shared" si="312"/>
        <v>0</v>
      </c>
      <c r="O773" s="639">
        <f t="shared" si="309"/>
        <v>0</v>
      </c>
      <c r="P773" s="639">
        <f t="shared" si="310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09"/>
        <v>0</v>
      </c>
      <c r="P774" s="90">
        <f t="shared" si="310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09"/>
        <v>0</v>
      </c>
      <c r="P775" s="90">
        <f t="shared" si="310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3">L781+L782</f>
        <v>0</v>
      </c>
      <c r="M780" s="639">
        <f t="shared" si="313"/>
        <v>0</v>
      </c>
      <c r="N780" s="639">
        <f t="shared" si="313"/>
        <v>0</v>
      </c>
      <c r="O780" s="639">
        <f t="shared" ref="O780:O782" si="314">IF(L780&gt;0,N780*100/L780,0)</f>
        <v>0</v>
      </c>
      <c r="P780" s="639">
        <f t="shared" ref="P780:P782" si="315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4"/>
        <v>0</v>
      </c>
      <c r="P781" s="90">
        <f t="shared" si="315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4"/>
        <v>0</v>
      </c>
      <c r="P782" s="90">
        <f t="shared" si="315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6">I800</f>
        <v>0</v>
      </c>
      <c r="J785" s="798">
        <f t="shared" ca="1" si="316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7">L787+L788</f>
        <v>0</v>
      </c>
      <c r="M786" s="191">
        <f t="shared" si="317"/>
        <v>0</v>
      </c>
      <c r="N786" s="191">
        <f t="shared" si="317"/>
        <v>0</v>
      </c>
      <c r="O786" s="191">
        <f t="shared" ref="O786:O791" ca="1" si="318">IF(L786&gt;0,N786*100/L786,0)</f>
        <v>0</v>
      </c>
      <c r="P786" s="191">
        <f t="shared" ref="P786:P791" si="319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0">L790+L797</f>
        <v>0</v>
      </c>
      <c r="M787" s="90">
        <f t="shared" si="320"/>
        <v>0</v>
      </c>
      <c r="N787" s="90">
        <f t="shared" si="320"/>
        <v>0</v>
      </c>
      <c r="O787" s="90">
        <f t="shared" si="318"/>
        <v>0</v>
      </c>
      <c r="P787" s="90">
        <f t="shared" si="319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0"/>
        <v>0</v>
      </c>
      <c r="M788" s="90">
        <f t="shared" si="320"/>
        <v>0</v>
      </c>
      <c r="N788" s="90">
        <f t="shared" si="320"/>
        <v>0</v>
      </c>
      <c r="O788" s="90">
        <f t="shared" ca="1" si="318"/>
        <v>0</v>
      </c>
      <c r="P788" s="90">
        <f t="shared" si="319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1">L790+L791</f>
        <v>0</v>
      </c>
      <c r="M789" s="495">
        <f t="shared" si="321"/>
        <v>0</v>
      </c>
      <c r="N789" s="495">
        <f t="shared" si="321"/>
        <v>0</v>
      </c>
      <c r="O789" s="495">
        <f t="shared" ca="1" si="318"/>
        <v>0</v>
      </c>
      <c r="P789" s="495">
        <f t="shared" si="319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8"/>
        <v>0</v>
      </c>
      <c r="P790" s="90">
        <f t="shared" si="319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IFERROR(__xludf.DUMMYFUNCTION("IMPORTRANGE(""https://docs.google.com/spreadsheets/d/1QqKyyYR6Q21VydFLVH3TRQUabQu_ym0Zz7PgGX0-kHA/edit?usp=sharing"",""แผน!JJ70"")"),0)</f>
        <v>0</v>
      </c>
      <c r="M791" s="90">
        <v>0</v>
      </c>
      <c r="N791" s="90">
        <f>N792+N793+N794+N795</f>
        <v>0</v>
      </c>
      <c r="O791" s="90">
        <f t="shared" ca="1" si="318"/>
        <v>0</v>
      </c>
      <c r="P791" s="90">
        <f t="shared" si="319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2">L797+L798</f>
        <v>0</v>
      </c>
      <c r="M796" s="495">
        <f t="shared" si="322"/>
        <v>0</v>
      </c>
      <c r="N796" s="495">
        <f t="shared" si="322"/>
        <v>0</v>
      </c>
      <c r="O796" s="495">
        <f t="shared" ref="O796:O798" si="323">IF(L796&gt;0,N796*100/L796,0)</f>
        <v>0</v>
      </c>
      <c r="P796" s="495">
        <f t="shared" ref="P796:P798" si="324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3"/>
        <v>0</v>
      </c>
      <c r="P797" s="90">
        <f t="shared" si="324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3"/>
        <v>0</v>
      </c>
      <c r="P798" s="90">
        <f t="shared" si="324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IFERROR(__xludf.DUMMYFUNCTION("IMPORTRANGE(""https://docs.google.com/spreadsheets/d/1QqKyyYR6Q21VydFLVH3TRQUabQu_ym0Zz7PgGX0-kHA/edit?usp=sharing"",""แผน!JN70"")"),0)</f>
        <v>0</v>
      </c>
      <c r="J800" s="180">
        <f ca="1">IFERROR(__xludf.DUMMYFUNCTION("IMPORTRANGE(""https://docs.google.com/spreadsheets/d/1MaWodYyGHDf7siQLGxnXhG4mBNTNIuy296niS2xXulU/edit?usp=sharing"",""RTK!H70"")"),0)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IFERROR(__xludf.DUMMYFUNCTION("IMPORTRANGE(""https://docs.google.com/spreadsheets/d/1MaWodYyGHDf7siQLGxnXhG4mBNTNIuy296niS2xXulU/edit?usp=sharing"",""RTK!I70"")"),0)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5">L806+L807</f>
        <v>0</v>
      </c>
      <c r="M805" s="639">
        <f t="shared" si="325"/>
        <v>0</v>
      </c>
      <c r="N805" s="639">
        <f t="shared" si="325"/>
        <v>0</v>
      </c>
      <c r="O805" s="639">
        <f t="shared" ref="O805:O810" si="326">IF(L805&gt;0,N805*100/L805,0)</f>
        <v>0</v>
      </c>
      <c r="P805" s="639">
        <f t="shared" ref="P805:P810" si="327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8">L809+L816</f>
        <v>0</v>
      </c>
      <c r="M806" s="90">
        <f t="shared" si="328"/>
        <v>0</v>
      </c>
      <c r="N806" s="90">
        <f t="shared" si="328"/>
        <v>0</v>
      </c>
      <c r="O806" s="90">
        <f t="shared" si="326"/>
        <v>0</v>
      </c>
      <c r="P806" s="90">
        <f t="shared" si="327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8"/>
        <v>0</v>
      </c>
      <c r="M807" s="90">
        <f t="shared" si="328"/>
        <v>0</v>
      </c>
      <c r="N807" s="90">
        <f t="shared" si="328"/>
        <v>0</v>
      </c>
      <c r="O807" s="90">
        <f t="shared" si="326"/>
        <v>0</v>
      </c>
      <c r="P807" s="90">
        <f t="shared" si="327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29">L809+L810</f>
        <v>0</v>
      </c>
      <c r="M808" s="639">
        <f t="shared" si="329"/>
        <v>0</v>
      </c>
      <c r="N808" s="639">
        <f t="shared" si="329"/>
        <v>0</v>
      </c>
      <c r="O808" s="639">
        <f t="shared" si="326"/>
        <v>0</v>
      </c>
      <c r="P808" s="639">
        <f t="shared" si="327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6"/>
        <v>0</v>
      </c>
      <c r="P809" s="90">
        <f t="shared" si="327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6"/>
        <v>0</v>
      </c>
      <c r="P810" s="90">
        <f t="shared" si="327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0">L816+L817</f>
        <v>0</v>
      </c>
      <c r="M815" s="639">
        <f t="shared" si="330"/>
        <v>0</v>
      </c>
      <c r="N815" s="639">
        <f t="shared" si="330"/>
        <v>0</v>
      </c>
      <c r="O815" s="639">
        <f t="shared" ref="O815:O817" si="331">IF(L815&gt;0,N815*100/L815,0)</f>
        <v>0</v>
      </c>
      <c r="P815" s="639">
        <f t="shared" ref="P815:P817" si="332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1"/>
        <v>0</v>
      </c>
      <c r="P816" s="90">
        <f t="shared" si="332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1"/>
        <v>0</v>
      </c>
      <c r="P817" s="90">
        <f t="shared" si="332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264">
        <f ca="1">IFERROR(__xludf.DUMMYFUNCTION("IMPORTRANGE(""https://docs.google.com/spreadsheets/d/19vJNZY_5yjcGF2XGBMNZRCAIB0Kwfpjp8YEOfu-bneM/edit?usp=sharing"",""งานกองทุน!F70"")"),0)</f>
        <v>0</v>
      </c>
      <c r="K821" s="495">
        <f t="shared" ref="K821:K828" ca="1" si="333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IFERROR(__xludf.DUMMYFUNCTION("IMPORTRANGE(""https://docs.google.com/spreadsheets/d/19vJNZY_5yjcGF2XGBMNZRCAIB0Kwfpjp8YEOfu-bneM/edit?usp=sharing"",""งานกองทุน!C70"")"),174)</f>
        <v>174</v>
      </c>
      <c r="J822" s="264">
        <f ca="1">IFERROR(__xludf.DUMMYFUNCTION("IMPORTRANGE(""https://docs.google.com/spreadsheets/d/19vJNZY_5yjcGF2XGBMNZRCAIB0Kwfpjp8YEOfu-bneM/edit?usp=sharing"",""งานกองทุน!E70"")"),0)</f>
        <v>0</v>
      </c>
      <c r="K822" s="495">
        <f t="shared" ca="1" si="333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264">
        <f ca="1">IFERROR(__xludf.DUMMYFUNCTION("IMPORTRANGE(""https://docs.google.com/spreadsheets/d/19vJNZY_5yjcGF2XGBMNZRCAIB0Kwfpjp8YEOfu-bneM/edit?usp=sharing"",""งานกองทุน!K70"")"),31695.18)</f>
        <v>31695.18</v>
      </c>
      <c r="K823" s="495">
        <f t="shared" ca="1" si="333"/>
        <v>0.18681822191117162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IFERROR(__xludf.DUMMYFUNCTION("IMPORTRANGE(""https://docs.google.com/spreadsheets/d/19vJNZY_5yjcGF2XGBMNZRCAIB0Kwfpjp8YEOfu-bneM/edit?usp=sharing"",""งานกองทุน!H70"")"),254)</f>
        <v>254</v>
      </c>
      <c r="J824" s="264">
        <f ca="1">IFERROR(__xludf.DUMMYFUNCTION("IMPORTRANGE(""https://docs.google.com/spreadsheets/d/19vJNZY_5yjcGF2XGBMNZRCAIB0Kwfpjp8YEOfu-bneM/edit?usp=sharing"",""งานกองทุน!J70"")"),20)</f>
        <v>20</v>
      </c>
      <c r="K824" s="495">
        <f t="shared" ca="1" si="333"/>
        <v>7.8740157480314963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IFERROR(__xludf.DUMMYFUNCTION("IMPORTRANGE(""https://docs.google.com/spreadsheets/d/19vJNZY_5yjcGF2XGBMNZRCAIB0Kwfpjp8YEOfu-bneM/edit?usp=sharing"",""งานกองทุน!N70"")"),2357453.85)</f>
        <v>2357453.85</v>
      </c>
      <c r="J825" s="264">
        <f ca="1">IFERROR(__xludf.DUMMYFUNCTION("IMPORTRANGE(""https://docs.google.com/spreadsheets/d/19vJNZY_5yjcGF2XGBMNZRCAIB0Kwfpjp8YEOfu-bneM/edit?usp=sharing"",""งานกองทุน!P70"")"),25313.21)</f>
        <v>25313.21</v>
      </c>
      <c r="K825" s="495">
        <f t="shared" ca="1" si="333"/>
        <v>1.0737520906294729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IFERROR(__xludf.DUMMYFUNCTION("IMPORTRANGE(""https://docs.google.com/spreadsheets/d/19vJNZY_5yjcGF2XGBMNZRCAIB0Kwfpjp8YEOfu-bneM/edit?usp=sharing"",""งานกองทุน!M70"")"),83)</f>
        <v>83</v>
      </c>
      <c r="J826" s="264">
        <f ca="1">IFERROR(__xludf.DUMMYFUNCTION("IMPORTRANGE(""https://docs.google.com/spreadsheets/d/19vJNZY_5yjcGF2XGBMNZRCAIB0Kwfpjp8YEOfu-bneM/edit?usp=sharing"",""งานกองทุน!O70"")"),17)</f>
        <v>17</v>
      </c>
      <c r="K826" s="495">
        <f t="shared" ca="1" si="333"/>
        <v>20.481927710843372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IFERROR(__xludf.DUMMYFUNCTION("IMPORTRANGE(""https://docs.google.com/spreadsheets/d/19vJNZY_5yjcGF2XGBMNZRCAIB0Kwfpjp8YEOfu-bneM/edit?usp=sharing"",""งานกองทุน!S70"")"),4030000)</f>
        <v>4030000</v>
      </c>
      <c r="J827" s="264">
        <f ca="1">IFERROR(__xludf.DUMMYFUNCTION("IMPORTRANGE(""https://docs.google.com/spreadsheets/d/19vJNZY_5yjcGF2XGBMNZRCAIB0Kwfpjp8YEOfu-bneM/edit?usp=sharing"",""งานกองทุน!U70"")"),0)</f>
        <v>0</v>
      </c>
      <c r="K827" s="495">
        <f t="shared" ca="1" si="333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IFERROR(__xludf.DUMMYFUNCTION("IMPORTRANGE(""https://docs.google.com/spreadsheets/d/19vJNZY_5yjcGF2XGBMNZRCAIB0Kwfpjp8YEOfu-bneM/edit?usp=sharing"",""งานกองทุน!R70"")"),161)</f>
        <v>161</v>
      </c>
      <c r="J828" s="498">
        <f ca="1">IFERROR(__xludf.DUMMYFUNCTION("IMPORTRANGE(""https://docs.google.com/spreadsheets/d/19vJNZY_5yjcGF2XGBMNZRCAIB0Kwfpjp8YEOfu-bneM/edit?usp=sharing"",""งานกองทุน!T70"")"),55)</f>
        <v>55</v>
      </c>
      <c r="K828" s="499">
        <f t="shared" ca="1" si="333"/>
        <v>34.161490683229815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F393-1CAB-435F-9A5A-18E4E3C1CAE6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3" sqref="A3:P3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4.42578125" bestFit="1" customWidth="1"/>
    <col min="10" max="10" width="11.28515625" bestFit="1" customWidth="1"/>
    <col min="11" max="11" width="12.5703125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356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39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2142725</v>
      </c>
      <c r="M8" s="21">
        <f t="shared" ca="1" si="0"/>
        <v>1036935</v>
      </c>
      <c r="N8" s="21">
        <f t="shared" ca="1" si="0"/>
        <v>640070.19000000006</v>
      </c>
      <c r="O8" s="21">
        <f t="shared" ref="O8:O16" ca="1" si="1">IF(L8&gt;0,N8*100/L8,0)</f>
        <v>29.871784293364762</v>
      </c>
      <c r="P8" s="21">
        <f t="shared" ref="P8:P16" ca="1" si="2">IF(M8&gt;0,N8*100/M8,0)</f>
        <v>61.727127544156581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2142725</v>
      </c>
      <c r="M10" s="29">
        <f t="shared" ca="1" si="3"/>
        <v>1036935</v>
      </c>
      <c r="N10" s="29">
        <f t="shared" ca="1" si="3"/>
        <v>640070.19000000006</v>
      </c>
      <c r="O10" s="29">
        <f t="shared" ca="1" si="1"/>
        <v>29.871784293364762</v>
      </c>
      <c r="P10" s="29">
        <f t="shared" ca="1" si="2"/>
        <v>61.727127544156581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2089925</v>
      </c>
      <c r="M11" s="495">
        <f t="shared" ca="1" si="4"/>
        <v>984895</v>
      </c>
      <c r="N11" s="495">
        <f t="shared" ca="1" si="4"/>
        <v>588030.19000000006</v>
      </c>
      <c r="O11" s="495">
        <f t="shared" ca="1" si="1"/>
        <v>28.136425469813513</v>
      </c>
      <c r="P11" s="495">
        <f t="shared" ca="1" si="2"/>
        <v>59.70486092426097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2089925</v>
      </c>
      <c r="M13" s="90">
        <f t="shared" ca="1" si="5"/>
        <v>984895</v>
      </c>
      <c r="N13" s="90">
        <f t="shared" ca="1" si="5"/>
        <v>588030.19000000006</v>
      </c>
      <c r="O13" s="90">
        <f t="shared" ca="1" si="1"/>
        <v>28.136425469813513</v>
      </c>
      <c r="P13" s="90">
        <f t="shared" ca="1" si="2"/>
        <v>59.70486092426097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52800</v>
      </c>
      <c r="M14" s="495">
        <f t="shared" ca="1" si="6"/>
        <v>52040</v>
      </c>
      <c r="N14" s="495">
        <f t="shared" ca="1" si="6"/>
        <v>52040</v>
      </c>
      <c r="O14" s="495">
        <f t="shared" ca="1" si="1"/>
        <v>98.560606060606062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52800</v>
      </c>
      <c r="M16" s="51">
        <f t="shared" ca="1" si="7"/>
        <v>52040</v>
      </c>
      <c r="N16" s="51">
        <f t="shared" ca="1" si="7"/>
        <v>52040</v>
      </c>
      <c r="O16" s="51">
        <f t="shared" ca="1" si="1"/>
        <v>98.560606060606062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2008525</v>
      </c>
      <c r="M18" s="21">
        <f t="shared" ca="1" si="8"/>
        <v>1036935</v>
      </c>
      <c r="N18" s="21">
        <f t="shared" ca="1" si="8"/>
        <v>633670.19000000006</v>
      </c>
      <c r="O18" s="21">
        <f t="shared" ref="O18:O26" ca="1" si="9">IF(L18&gt;0,N18*100/L18,0)</f>
        <v>31.549031752156438</v>
      </c>
      <c r="P18" s="21">
        <f t="shared" ref="P18:P26" ca="1" si="10">IF(M18&gt;0,N18*100/M18,0)</f>
        <v>61.109923958589505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2008525</v>
      </c>
      <c r="M20" s="29">
        <f t="shared" ca="1" si="11"/>
        <v>1036935</v>
      </c>
      <c r="N20" s="29">
        <f t="shared" ca="1" si="11"/>
        <v>633670.19000000006</v>
      </c>
      <c r="O20" s="29">
        <f t="shared" ca="1" si="9"/>
        <v>31.549031752156438</v>
      </c>
      <c r="P20" s="29">
        <f t="shared" ca="1" si="10"/>
        <v>61.109923958589505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1955725</v>
      </c>
      <c r="M21" s="495">
        <f t="shared" ca="1" si="12"/>
        <v>984895</v>
      </c>
      <c r="N21" s="495">
        <f t="shared" ca="1" si="12"/>
        <v>581630.19000000006</v>
      </c>
      <c r="O21" s="495">
        <f t="shared" ca="1" si="9"/>
        <v>29.739876005062065</v>
      </c>
      <c r="P21" s="495">
        <f t="shared" ca="1" si="10"/>
        <v>59.055045461698967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1955725</v>
      </c>
      <c r="M23" s="90">
        <f t="shared" ca="1" si="13"/>
        <v>984895</v>
      </c>
      <c r="N23" s="90">
        <f t="shared" ca="1" si="13"/>
        <v>581630.19000000006</v>
      </c>
      <c r="O23" s="90">
        <f t="shared" ca="1" si="9"/>
        <v>29.739876005062065</v>
      </c>
      <c r="P23" s="90">
        <f t="shared" ca="1" si="10"/>
        <v>59.055045461698967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52800</v>
      </c>
      <c r="M24" s="495">
        <f t="shared" ca="1" si="14"/>
        <v>52040</v>
      </c>
      <c r="N24" s="495">
        <f t="shared" ca="1" si="14"/>
        <v>52040</v>
      </c>
      <c r="O24" s="495">
        <f t="shared" ca="1" si="9"/>
        <v>98.560606060606062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52800</v>
      </c>
      <c r="M26" s="51">
        <f t="shared" ca="1" si="15"/>
        <v>52040</v>
      </c>
      <c r="N26" s="51">
        <f t="shared" ca="1" si="15"/>
        <v>52040</v>
      </c>
      <c r="O26" s="51">
        <f t="shared" ca="1" si="9"/>
        <v>98.560606060606062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134200</v>
      </c>
      <c r="M28" s="21">
        <f t="shared" si="16"/>
        <v>0</v>
      </c>
      <c r="N28" s="21">
        <f t="shared" si="16"/>
        <v>6400</v>
      </c>
      <c r="O28" s="21">
        <f t="shared" ref="O28:O37" ca="1" si="17">IF(L28&gt;0,N28*100/L28,0)</f>
        <v>4.7690014903129656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134200</v>
      </c>
      <c r="M30" s="29">
        <f t="shared" si="19"/>
        <v>0</v>
      </c>
      <c r="N30" s="29">
        <f t="shared" si="19"/>
        <v>6400</v>
      </c>
      <c r="O30" s="29">
        <f t="shared" ca="1" si="17"/>
        <v>4.7690014903129656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134200</v>
      </c>
      <c r="M31" s="495">
        <f t="shared" si="20"/>
        <v>0</v>
      </c>
      <c r="N31" s="495">
        <f t="shared" si="20"/>
        <v>6400</v>
      </c>
      <c r="O31" s="495">
        <f t="shared" ca="1" si="17"/>
        <v>4.7690014903129656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134200</v>
      </c>
      <c r="M33" s="90">
        <f t="shared" si="21"/>
        <v>0</v>
      </c>
      <c r="N33" s="90">
        <f t="shared" si="21"/>
        <v>6400</v>
      </c>
      <c r="O33" s="90">
        <f t="shared" ca="1" si="17"/>
        <v>4.7690014903129656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2008525</v>
      </c>
      <c r="M37" s="57">
        <f t="shared" ca="1" si="24"/>
        <v>1036935</v>
      </c>
      <c r="N37" s="57">
        <f t="shared" ca="1" si="24"/>
        <v>633670.19000000006</v>
      </c>
      <c r="O37" s="57">
        <f t="shared" ca="1" si="17"/>
        <v>31.549031752156438</v>
      </c>
      <c r="P37" s="57">
        <f t="shared" ca="1" si="18"/>
        <v>61.109923958589505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302700</v>
      </c>
      <c r="M41" s="82">
        <f t="shared" ca="1" si="25"/>
        <v>152700</v>
      </c>
      <c r="N41" s="82">
        <f t="shared" ca="1" si="25"/>
        <v>82870</v>
      </c>
      <c r="O41" s="82">
        <f t="shared" ref="O41:O49" ca="1" si="26">IF(L41&gt;0,N41*100/L41,0)</f>
        <v>27.376940865543443</v>
      </c>
      <c r="P41" s="82">
        <f t="shared" ref="P41:P49" ca="1" si="27">IF(M41&gt;0,N41*100/M41,0)</f>
        <v>54.269810085134253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302700</v>
      </c>
      <c r="M43" s="89">
        <f t="shared" ca="1" si="28"/>
        <v>152700</v>
      </c>
      <c r="N43" s="89">
        <f t="shared" ca="1" si="28"/>
        <v>82870</v>
      </c>
      <c r="O43" s="89">
        <f t="shared" ca="1" si="26"/>
        <v>27.376940865543443</v>
      </c>
      <c r="P43" s="89">
        <f t="shared" ca="1" si="27"/>
        <v>54.269810085134253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302700</v>
      </c>
      <c r="M44" s="495">
        <f t="shared" ca="1" si="29"/>
        <v>152700</v>
      </c>
      <c r="N44" s="495">
        <f t="shared" ca="1" si="29"/>
        <v>82870</v>
      </c>
      <c r="O44" s="495">
        <f t="shared" ca="1" si="26"/>
        <v>27.376940865543443</v>
      </c>
      <c r="P44" s="495">
        <f t="shared" ca="1" si="27"/>
        <v>54.269810085134253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IFERROR(__xludf.DUMMYFUNCTION("IMPORTRANGE(""https://docs.google.com/spreadsheets/d/1MeEWN-I1oV_STSDYn1IFDPWt_1FKiwhDph83XaGc0o0/edit?usp=sharing"",""งบพรบ!M71"")"),302700)</f>
        <v>302700</v>
      </c>
      <c r="M46" s="90">
        <f ca="1">IFERROR(__xludf.DUMMYFUNCTION("IMPORTRANGE(""https://docs.google.com/spreadsheets/d/1MeEWN-I1oV_STSDYn1IFDPWt_1FKiwhDph83XaGc0o0/edit?usp=sharing"",""งบพรบ!R71"")"),152700)</f>
        <v>152700</v>
      </c>
      <c r="N46" s="90">
        <f ca="1">IFERROR(__xludf.DUMMYFUNCTION("IMPORTRANGE(""https://docs.google.com/spreadsheets/d/1MeEWN-I1oV_STSDYn1IFDPWt_1FKiwhDph83XaGc0o0/edit?usp=sharing"",""งบพรบ!T71"")"),82870)</f>
        <v>82870</v>
      </c>
      <c r="O46" s="90">
        <f t="shared" ca="1" si="26"/>
        <v>27.376940865543443</v>
      </c>
      <c r="P46" s="90">
        <f t="shared" ca="1" si="27"/>
        <v>54.269810085134253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IFERROR(__xludf.DUMMYFUNCTION("IMPORTRANGE(""https://docs.google.com/spreadsheets/d/1MeEWN-I1oV_STSDYn1IFDPWt_1FKiwhDph83XaGc0o0/edit?usp=sharing"",""งบพรบ!P71"")"),0)</f>
        <v>0</v>
      </c>
      <c r="M49" s="51">
        <f ca="1">IFERROR(__xludf.DUMMYFUNCTION("IMPORTRANGE(""https://docs.google.com/spreadsheets/d/1MeEWN-I1oV_STSDYn1IFDPWt_1FKiwhDph83XaGc0o0/edit?usp=sharing"",""งบพรบ!S71"")"),0)</f>
        <v>0</v>
      </c>
      <c r="N49" s="51">
        <f ca="1">IFERROR(__xludf.DUMMYFUNCTION("IMPORTRANGE(""https://docs.google.com/spreadsheets/d/1MeEWN-I1oV_STSDYn1IFDPWt_1FKiwhDph83XaGc0o0/edit?usp=sharing"",""งบพรบ!U71"")"),0)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887900</v>
      </c>
      <c r="M53" s="112">
        <f t="shared" ca="1" si="31"/>
        <v>443950</v>
      </c>
      <c r="N53" s="112">
        <f t="shared" ca="1" si="31"/>
        <v>351800.84</v>
      </c>
      <c r="O53" s="112">
        <f t="shared" ref="O53:O61" ca="1" si="32">IF(L53&gt;0,N53*100/L53,0)</f>
        <v>39.621673611893229</v>
      </c>
      <c r="P53" s="112">
        <f t="shared" ref="P53:P61" ca="1" si="33">IF(M53&gt;0,N53*100/M53,0)</f>
        <v>79.243347223786458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887900</v>
      </c>
      <c r="M55" s="119">
        <f t="shared" ca="1" si="34"/>
        <v>443950</v>
      </c>
      <c r="N55" s="119">
        <f t="shared" ca="1" si="34"/>
        <v>351800.84</v>
      </c>
      <c r="O55" s="119">
        <f t="shared" ca="1" si="32"/>
        <v>39.621673611893229</v>
      </c>
      <c r="P55" s="119">
        <f t="shared" ca="1" si="33"/>
        <v>79.243347223786458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887900</v>
      </c>
      <c r="M56" s="495">
        <f t="shared" ca="1" si="35"/>
        <v>443950</v>
      </c>
      <c r="N56" s="495">
        <f t="shared" ca="1" si="35"/>
        <v>351800.84</v>
      </c>
      <c r="O56" s="495">
        <f t="shared" ca="1" si="32"/>
        <v>39.621673611893229</v>
      </c>
      <c r="P56" s="495">
        <f t="shared" ca="1" si="33"/>
        <v>79.243347223786458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IFERROR(__xludf.DUMMYFUNCTION("IMPORTRANGE(""https://docs.google.com/spreadsheets/d/1MeEWN-I1oV_STSDYn1IFDPWt_1FKiwhDph83XaGc0o0/edit?usp=sharing"",""งบพรบ!W71"")"),887900)</f>
        <v>887900</v>
      </c>
      <c r="M58" s="90">
        <f ca="1">IFERROR(__xludf.DUMMYFUNCTION("IMPORTRANGE(""https://docs.google.com/spreadsheets/d/1MeEWN-I1oV_STSDYn1IFDPWt_1FKiwhDph83XaGc0o0/edit?usp=sharing"",""งบพรบ!AB71"")"),443950)</f>
        <v>443950</v>
      </c>
      <c r="N58" s="90">
        <f ca="1">IFERROR(__xludf.DUMMYFUNCTION("IMPORTRANGE(""https://docs.google.com/spreadsheets/d/1MeEWN-I1oV_STSDYn1IFDPWt_1FKiwhDph83XaGc0o0/edit?usp=sharing"",""งบพรบ!AD71"")"),351800.84)</f>
        <v>351800.84</v>
      </c>
      <c r="O58" s="90">
        <f t="shared" ca="1" si="32"/>
        <v>39.621673611893229</v>
      </c>
      <c r="P58" s="90">
        <f t="shared" ca="1" si="33"/>
        <v>79.243347223786458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IFERROR(__xludf.DUMMYFUNCTION("IMPORTRANGE(""https://docs.google.com/spreadsheets/d/1MeEWN-I1oV_STSDYn1IFDPWt_1FKiwhDph83XaGc0o0/edit?usp=sharing"",""งบพรบ!Z71"")"),0)</f>
        <v>0</v>
      </c>
      <c r="M61" s="51">
        <f ca="1">IFERROR(__xludf.DUMMYFUNCTION("IMPORTRANGE(""https://docs.google.com/spreadsheets/d/1MeEWN-I1oV_STSDYn1IFDPWt_1FKiwhDph83XaGc0o0/edit?usp=sharing"",""งบพรบ!AC71"")"),0)</f>
        <v>0</v>
      </c>
      <c r="N61" s="51">
        <f ca="1">IFERROR(__xludf.DUMMYFUNCTION("IMPORTRANGE(""https://docs.google.com/spreadsheets/d/1MeEWN-I1oV_STSDYn1IFDPWt_1FKiwhDph83XaGc0o0/edit?usp=sharing"",""งบพรบ!AE71"")"),0)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IFERROR(__xludf.DUMMYFUNCTION("IMPORTRANGE(""https://docs.google.com/spreadsheets/d/1MeEWN-I1oV_STSDYn1IFDPWt_1FKiwhDph83XaGc0o0/edit?usp=sharing"",""งบพรบ!AG71"")"),0)</f>
        <v>0</v>
      </c>
      <c r="M71" s="90">
        <f ca="1">IFERROR(__xludf.DUMMYFUNCTION("IMPORTRANGE(""https://docs.google.com/spreadsheets/d/1MeEWN-I1oV_STSDYn1IFDPWt_1FKiwhDph83XaGc0o0/edit?usp=sharing"",""งบพรบ!AL71"")"),0)</f>
        <v>0</v>
      </c>
      <c r="N71" s="90">
        <f ca="1">IFERROR(__xludf.DUMMYFUNCTION("IMPORTRANGE(""https://docs.google.com/spreadsheets/d/1MeEWN-I1oV_STSDYn1IFDPWt_1FKiwhDph83XaGc0o0/edit?usp=sharing"",""งบพรบ!AN71"")"),0)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IFERROR(__xludf.DUMMYFUNCTION("IMPORTRANGE(""https://docs.google.com/spreadsheets/d/1MeEWN-I1oV_STSDYn1IFDPWt_1FKiwhDph83XaGc0o0/edit?usp=sharing"",""งบพรบ!AJ71"")"),0)</f>
        <v>0</v>
      </c>
      <c r="M74" s="90">
        <f ca="1">IFERROR(__xludf.DUMMYFUNCTION("IMPORTRANGE(""https://docs.google.com/spreadsheets/d/1MeEWN-I1oV_STSDYn1IFDPWt_1FKiwhDph83XaGc0o0/edit?usp=sharing"",""งบพรบ!AM71"")"),0)</f>
        <v>0</v>
      </c>
      <c r="N74" s="90">
        <f ca="1">IFERROR(__xludf.DUMMYFUNCTION("IMPORTRANGE(""https://docs.google.com/spreadsheets/d/1MeEWN-I1oV_STSDYn1IFDPWt_1FKiwhDph83XaGc0o0/edit?usp=sharing"",""งบพรบ!AO71"")"),0)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IFERROR(__xludf.DUMMYFUNCTION("IMPORTRANGE(""https://docs.google.com/spreadsheets/d/1QqKyyYR6Q21VydFLVH3TRQUabQu_ym0Zz7PgGX0-kHA/edit?usp=sharing"",""แผน!H71"")"),0)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IFERROR(__xludf.DUMMYFUNCTION("IMPORTRANGE(""https://docs.google.com/spreadsheets/d/1QqKyyYR6Q21VydFLVH3TRQUabQu_ym0Zz7PgGX0-kHA/edit?usp=sharing"",""แผน!I71"")"),0)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IFERROR(__xludf.DUMMYFUNCTION("IMPORTRANGE(""https://docs.google.com/spreadsheets/d/1QqKyyYR6Q21VydFLVH3TRQUabQu_ym0Zz7PgGX0-kHA/edit?usp=sharing"",""แผน!F71"")"),0)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IFERROR(__xludf.DUMMYFUNCTION("IMPORTRANGE(""https://docs.google.com/spreadsheets/d/1QqKyyYR6Q21VydFLVH3TRQUabQu_ym0Zz7PgGX0-kHA/edit?usp=sharing"",""แผน!G71"")"),0)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IFERROR(__xludf.DUMMYFUNCTION("IMPORTRANGE(""https://docs.google.com/spreadsheets/d/1QqKyyYR6Q21VydFLVH3TRQUabQu_ym0Zz7PgGX0-kHA/edit?usp=sharing"",""แผน!D71"")"),0)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IFERROR(__xludf.DUMMYFUNCTION("IMPORTRANGE(""https://docs.google.com/spreadsheets/d/1QqKyyYR6Q21VydFLVH3TRQUabQu_ym0Zz7PgGX0-kHA/edit?usp=sharing"",""แผน!E71"")"),0)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IFERROR(__xludf.DUMMYFUNCTION("IMPORTRANGE(""https://docs.google.com/spreadsheets/d/1QqKyyYR6Q21VydFLVH3TRQUabQu_ym0Zz7PgGX0-kHA/edit?usp=sharing"",""แผน!J71"")"),0)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174500</v>
      </c>
      <c r="M88" s="151">
        <f t="shared" ca="1" si="49"/>
        <v>99400</v>
      </c>
      <c r="N88" s="151">
        <f t="shared" ca="1" si="49"/>
        <v>42404.36</v>
      </c>
      <c r="O88" s="151">
        <f t="shared" ref="O88:O96" ca="1" si="50">IF(L88&gt;0,N88*100/L88,0)</f>
        <v>24.300492836676217</v>
      </c>
      <c r="P88" s="151">
        <f t="shared" ref="P88:P96" ca="1" si="51">IF(M88&gt;0,N88*100/M88,0)</f>
        <v>42.660321931589536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174500</v>
      </c>
      <c r="M90" s="90">
        <f t="shared" ca="1" si="52"/>
        <v>99400</v>
      </c>
      <c r="N90" s="90">
        <f t="shared" ca="1" si="52"/>
        <v>42404.36</v>
      </c>
      <c r="O90" s="90">
        <f t="shared" ca="1" si="50"/>
        <v>24.300492836676217</v>
      </c>
      <c r="P90" s="90">
        <f t="shared" ca="1" si="51"/>
        <v>42.660321931589536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174500</v>
      </c>
      <c r="M91" s="495">
        <f t="shared" ca="1" si="53"/>
        <v>99400</v>
      </c>
      <c r="N91" s="495">
        <f t="shared" ca="1" si="53"/>
        <v>42404.36</v>
      </c>
      <c r="O91" s="495">
        <f t="shared" ca="1" si="50"/>
        <v>24.300492836676217</v>
      </c>
      <c r="P91" s="495">
        <f t="shared" ca="1" si="51"/>
        <v>42.660321931589536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IFERROR(__xludf.DUMMYFUNCTION("IMPORTRANGE(""https://docs.google.com/spreadsheets/d/1MeEWN-I1oV_STSDYn1IFDPWt_1FKiwhDph83XaGc0o0/edit?usp=sharing"",""งบพรบ!AQ71"")"),174500)</f>
        <v>174500</v>
      </c>
      <c r="M93" s="90">
        <f ca="1">IFERROR(__xludf.DUMMYFUNCTION("IMPORTRANGE(""https://docs.google.com/spreadsheets/d/1MeEWN-I1oV_STSDYn1IFDPWt_1FKiwhDph83XaGc0o0/edit?usp=sharing"",""งบพรบ!AV71"")"),99400)</f>
        <v>99400</v>
      </c>
      <c r="N93" s="90">
        <f ca="1">IFERROR(__xludf.DUMMYFUNCTION("IMPORTRANGE(""https://docs.google.com/spreadsheets/d/1MeEWN-I1oV_STSDYn1IFDPWt_1FKiwhDph83XaGc0o0/edit?usp=sharing"",""งบพรบ!AX71"")"),42404.36)</f>
        <v>42404.36</v>
      </c>
      <c r="O93" s="90">
        <f t="shared" ca="1" si="50"/>
        <v>24.300492836676217</v>
      </c>
      <c r="P93" s="90">
        <f t="shared" ca="1" si="51"/>
        <v>42.660321931589536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IFERROR(__xludf.DUMMYFUNCTION("IMPORTRANGE(""https://docs.google.com/spreadsheets/d/1MeEWN-I1oV_STSDYn1IFDPWt_1FKiwhDph83XaGc0o0/edit?usp=sharing"",""งบพรบ!AT71"")"),0)</f>
        <v>0</v>
      </c>
      <c r="M96" s="90">
        <f ca="1">IFERROR(__xludf.DUMMYFUNCTION("IMPORTRANGE(""https://docs.google.com/spreadsheets/d/1MeEWN-I1oV_STSDYn1IFDPWt_1FKiwhDph83XaGc0o0/edit?usp=sharing"",""งบพรบ!AW71"")"),0)</f>
        <v>0</v>
      </c>
      <c r="N96" s="90">
        <f ca="1">IFERROR(__xludf.DUMMYFUNCTION("IMPORTRANGE(""https://docs.google.com/spreadsheets/d/1MeEWN-I1oV_STSDYn1IFDPWt_1FKiwhDph83XaGc0o0/edit?usp=sharing"",""งบพรบ!AY71"")"),0)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IFERROR(__xludf.DUMMYFUNCTION("IMPORTRANGE(""https://docs.google.com/spreadsheets/d/1QqKyyYR6Q21VydFLVH3TRQUabQu_ym0Zz7PgGX0-kHA/edit?usp=sharing"",""แผน!K71"")"),0)</f>
        <v>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IFERROR(__xludf.DUMMYFUNCTION("IMPORTRANGE(""https://docs.google.com/spreadsheets/d/1QqKyyYR6Q21VydFLVH3TRQUabQu_ym0Zz7PgGX0-kHA/edit?usp=sharing"",""แผน!L71"")"),0)</f>
        <v>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IFERROR(__xludf.DUMMYFUNCTION("IMPORTRANGE(""https://docs.google.com/spreadsheets/d/1QqKyyYR6Q21VydFLVH3TRQUabQu_ym0Zz7PgGX0-kHA/edit?usp=sharing"",""แผน!M71"")"),1)</f>
        <v>1</v>
      </c>
      <c r="J100" s="264">
        <f>J107+J110</f>
        <v>1</v>
      </c>
      <c r="K100" s="495">
        <f t="shared" ca="1" si="55"/>
        <v>100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IFERROR(__xludf.DUMMYFUNCTION("IMPORTRANGE(""https://docs.google.com/spreadsheets/d/1QqKyyYR6Q21VydFLVH3TRQUabQu_ym0Zz7PgGX0-kHA/edit?usp=sharing"",""แผน!N71"")"),0)</f>
        <v>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IFERROR(__xludf.DUMMYFUNCTION("IMPORTRANGE(""https://docs.google.com/spreadsheets/d/1QqKyyYR6Q21VydFLVH3TRQUabQu_ym0Zz7PgGX0-kHA/edit?usp=sharing"",""แผน!O71"")"),0)</f>
        <v>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IFERROR(__xludf.DUMMYFUNCTION("IMPORTRANGE(""https://docs.google.com/spreadsheets/d/1QqKyyYR6Q21VydFLVH3TRQUabQu_ym0Zz7PgGX0-kHA/edit?usp=sharing"",""แผน!O71"")"),0)</f>
        <v>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IFERROR(__xludf.DUMMYFUNCTION("IMPORTRANGE(""https://docs.google.com/spreadsheets/d/1QqKyyYR6Q21VydFLVH3TRQUabQu_ym0Zz7PgGX0-kHA/edit?usp=sharing"",""แผน!P71"")"),0)</f>
        <v>0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IFERROR(__xludf.DUMMYFUNCTION("IMPORTRANGE(""https://docs.google.com/spreadsheets/d/1QqKyyYR6Q21VydFLVH3TRQUabQu_ym0Zz7PgGX0-kHA/edit?usp=sharing"",""แผน!P71"")"),0)</f>
        <v>0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IFERROR(__xludf.DUMMYFUNCTION("IMPORTRANGE(""https://docs.google.com/spreadsheets/d/1QqKyyYR6Q21VydFLVH3TRQUabQu_ym0Zz7PgGX0-kHA/edit?usp=sharing"",""แผน!Q71"")"),1)</f>
        <v>1</v>
      </c>
      <c r="J109" s="210">
        <v>1</v>
      </c>
      <c r="K109" s="495">
        <f t="shared" ref="K109:K116" ca="1" si="58">IF(I109&gt;0,J109*100/I109,0)</f>
        <v>100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IFERROR(__xludf.DUMMYFUNCTION("IMPORTRANGE(""https://docs.google.com/spreadsheets/d/1QqKyyYR6Q21VydFLVH3TRQUabQu_ym0Zz7PgGX0-kHA/edit?usp=sharing"",""แผน!Q71"")"),1)</f>
        <v>1</v>
      </c>
      <c r="J110" s="210">
        <v>1</v>
      </c>
      <c r="K110" s="495">
        <f t="shared" ca="1" si="58"/>
        <v>100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IFERROR(__xludf.DUMMYFUNCTION("IMPORTRANGE(""https://docs.google.com/spreadsheets/d/1QqKyyYR6Q21VydFLVH3TRQUabQu_ym0Zz7PgGX0-kHA/edit?usp=sharing"",""แผน!R71"")"),0)</f>
        <v>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1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IFERROR(__xludf.DUMMYFUNCTION("IMPORTRANGE(""https://docs.google.com/spreadsheets/d/1QqKyyYR6Q21VydFLVH3TRQUabQu_ym0Zz7PgGX0-kHA/edit?usp=sharing"",""แผน!R71"")"),0)</f>
        <v>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IFERROR(__xludf.DUMMYFUNCTION("IMPORTRANGE(""https://docs.google.com/spreadsheets/d/1QqKyyYR6Q21VydFLVH3TRQUabQu_ym0Zz7PgGX0-kHA/edit?usp=sharing"",""แผน!R71"")"),0)</f>
        <v>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IFERROR(__xludf.DUMMYFUNCTION("IMPORTRANGE(""https://docs.google.com/spreadsheets/d/1QqKyyYR6Q21VydFLVH3TRQUabQu_ym0Zz7PgGX0-kHA/edit?usp=sharing"",""แผน!S71"")"),0)</f>
        <v>0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IFERROR(__xludf.DUMMYFUNCTION("IMPORTRANGE(""https://docs.google.com/spreadsheets/d/1QqKyyYR6Q21VydFLVH3TRQUabQu_ym0Zz7PgGX0-kHA/edit?usp=sharing"",""แผน!T71"")"),1)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IFERROR(__xludf.DUMMYFUNCTION("IMPORTRANGE(""https://docs.google.com/spreadsheets/d/1MeEWN-I1oV_STSDYn1IFDPWt_1FKiwhDph83XaGc0o0/edit?usp=sharing"",""งบพรบ!BA71"")"),0)</f>
        <v>0</v>
      </c>
      <c r="M124" s="90">
        <f ca="1">IFERROR(__xludf.DUMMYFUNCTION("IMPORTRANGE(""https://docs.google.com/spreadsheets/d/1MeEWN-I1oV_STSDYn1IFDPWt_1FKiwhDph83XaGc0o0/edit?usp=sharing"",""งบพรบ!BF71"")"),0)</f>
        <v>0</v>
      </c>
      <c r="N124" s="90">
        <f ca="1">IFERROR(__xludf.DUMMYFUNCTION("IMPORTRANGE(""https://docs.google.com/spreadsheets/d/1MeEWN-I1oV_STSDYn1IFDPWt_1FKiwhDph83XaGc0o0/edit?usp=sharing"",""งบพรบ!BH71"")"),0)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IFERROR(__xludf.DUMMYFUNCTION("IMPORTRANGE(""https://docs.google.com/spreadsheets/d/1MeEWN-I1oV_STSDYn1IFDPWt_1FKiwhDph83XaGc0o0/edit?usp=sharing"",""งบพรบ!BD71"")"),0)</f>
        <v>0</v>
      </c>
      <c r="M127" s="90">
        <f ca="1">IFERROR(__xludf.DUMMYFUNCTION("IMPORTRANGE(""https://docs.google.com/spreadsheets/d/1MeEWN-I1oV_STSDYn1IFDPWt_1FKiwhDph83XaGc0o0/edit?usp=sharing"",""งบพรบ!BG71"")"),0)</f>
        <v>0</v>
      </c>
      <c r="N127" s="90">
        <f ca="1">IFERROR(__xludf.DUMMYFUNCTION("IMPORTRANGE(""https://docs.google.com/spreadsheets/d/1MeEWN-I1oV_STSDYn1IFDPWt_1FKiwhDph83XaGc0o0/edit?usp=sharing"",""งบพรบ!BI71"")"),0)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IFERROR(__xludf.DUMMYFUNCTION("IMPORTRANGE(""https://docs.google.com/spreadsheets/d/1MeEWN-I1oV_STSDYn1IFDPWt_1FKiwhDph83XaGc0o0/edit?usp=sharing"",""งบพรบ!BK71"")"),0)</f>
        <v>0</v>
      </c>
      <c r="M137" s="90">
        <f ca="1">IFERROR(__xludf.DUMMYFUNCTION("IMPORTRANGE(""https://docs.google.com/spreadsheets/d/1MeEWN-I1oV_STSDYn1IFDPWt_1FKiwhDph83XaGc0o0/edit?usp=sharing"",""งบพรบ!BP71"")"),0)</f>
        <v>0</v>
      </c>
      <c r="N137" s="90">
        <f ca="1">IFERROR(__xludf.DUMMYFUNCTION("IMPORTRANGE(""https://docs.google.com/spreadsheets/d/1MeEWN-I1oV_STSDYn1IFDPWt_1FKiwhDph83XaGc0o0/edit?usp=sharing"",""งบพรบ!BR71"")"),0)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IFERROR(__xludf.DUMMYFUNCTION("IMPORTRANGE(""https://docs.google.com/spreadsheets/d/1MeEWN-I1oV_STSDYn1IFDPWt_1FKiwhDph83XaGc0o0/edit?usp=sharing"",""งบพรบ!BN71"")"),0)</f>
        <v>0</v>
      </c>
      <c r="M140" s="90">
        <f ca="1">IFERROR(__xludf.DUMMYFUNCTION("IMPORTRANGE(""https://docs.google.com/spreadsheets/d/1MeEWN-I1oV_STSDYn1IFDPWt_1FKiwhDph83XaGc0o0/edit?usp=sharing"",""งบพรบ!BQ71"")"),0)</f>
        <v>0</v>
      </c>
      <c r="N140" s="90">
        <f ca="1">IFERROR(__xludf.DUMMYFUNCTION("IMPORTRANGE(""https://docs.google.com/spreadsheets/d/1MeEWN-I1oV_STSDYn1IFDPWt_1FKiwhDph83XaGc0o0/edit?usp=sharing"",""งบพรบ!BS71"")"),0)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IFERROR(__xludf.DUMMYFUNCTION("IMPORTRANGE(""https://docs.google.com/spreadsheets/d/1QqKyyYR6Q21VydFLVH3TRQUabQu_ym0Zz7PgGX0-kHA/edit?usp=sharing"",""แผน!U71"")"),0)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IFERROR(__xludf.DUMMYFUNCTION("IMPORTRANGE(""https://docs.google.com/spreadsheets/d/1QqKyyYR6Q21VydFLVH3TRQUabQu_ym0Zz7PgGX0-kHA/edit?usp=sharing"",""แผน!V71"")"),0)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IFERROR(__xludf.DUMMYFUNCTION("IMPORTRANGE(""https://docs.google.com/spreadsheets/d/1QqKyyYR6Q21VydFLVH3TRQUabQu_ym0Zz7PgGX0-kHA/edit?usp=sharing"",""แผน!W71"")"),0)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IFERROR(__xludf.DUMMYFUNCTION("IMPORTRANGE(""https://docs.google.com/spreadsheets/d/1MeEWN-I1oV_STSDYn1IFDPWt_1FKiwhDph83XaGc0o0/edit?usp=sharing"",""งบพรบ!BU71"")"),0)</f>
        <v>0</v>
      </c>
      <c r="M154" s="90">
        <f ca="1">IFERROR(__xludf.DUMMYFUNCTION("IMPORTRANGE(""https://docs.google.com/spreadsheets/d/1MeEWN-I1oV_STSDYn1IFDPWt_1FKiwhDph83XaGc0o0/edit?usp=sharing"",""งบพรบ!BZ71"")"),0)</f>
        <v>0</v>
      </c>
      <c r="N154" s="90">
        <f ca="1">IFERROR(__xludf.DUMMYFUNCTION("IMPORTRANGE(""https://docs.google.com/spreadsheets/d/1MeEWN-I1oV_STSDYn1IFDPWt_1FKiwhDph83XaGc0o0/edit?usp=sharing"",""งบพรบ!CB71"")"),0)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IFERROR(__xludf.DUMMYFUNCTION("IMPORTRANGE(""https://docs.google.com/spreadsheets/d/1MeEWN-I1oV_STSDYn1IFDPWt_1FKiwhDph83XaGc0o0/edit?usp=sharing"",""งบพรบ!BX71"")"),0)</f>
        <v>0</v>
      </c>
      <c r="M157" s="90">
        <f ca="1">IFERROR(__xludf.DUMMYFUNCTION("IMPORTRANGE(""https://docs.google.com/spreadsheets/d/1MeEWN-I1oV_STSDYn1IFDPWt_1FKiwhDph83XaGc0o0/edit?usp=sharing"",""งบพรบ!CA71"")"),0)</f>
        <v>0</v>
      </c>
      <c r="N157" s="90">
        <f ca="1">IFERROR(__xludf.DUMMYFUNCTION("IMPORTRANGE(""https://docs.google.com/spreadsheets/d/1MeEWN-I1oV_STSDYn1IFDPWt_1FKiwhDph83XaGc0o0/edit?usp=sharing"",""งบพรบ!CC71"")"),0)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IFERROR(__xludf.DUMMYFUNCTION("IMPORTRANGE(""https://docs.google.com/spreadsheets/d/1QqKyyYR6Q21VydFLVH3TRQUabQu_ym0Zz7PgGX0-kHA/edit?usp=sharing"",""แผน!X71"")"),0)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11</v>
      </c>
      <c r="J164" s="248">
        <f t="shared" si="83"/>
        <v>11</v>
      </c>
      <c r="K164" s="249">
        <f ca="1">IF(I164&gt;0,J164*100/I164,0)</f>
        <v>100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22055</v>
      </c>
      <c r="M165" s="150">
        <f t="shared" ca="1" si="84"/>
        <v>22055</v>
      </c>
      <c r="N165" s="150">
        <f t="shared" ca="1" si="84"/>
        <v>22055</v>
      </c>
      <c r="O165" s="150">
        <f t="shared" ref="O165:O173" ca="1" si="85">IF(L165&gt;0,N165*100/L165,0)</f>
        <v>100</v>
      </c>
      <c r="P165" s="150">
        <f t="shared" ref="P165:P173" ca="1" si="86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22055</v>
      </c>
      <c r="M167" s="90">
        <f t="shared" ca="1" si="87"/>
        <v>22055</v>
      </c>
      <c r="N167" s="90">
        <f t="shared" ca="1" si="87"/>
        <v>22055</v>
      </c>
      <c r="O167" s="90">
        <f t="shared" ca="1" si="85"/>
        <v>100</v>
      </c>
      <c r="P167" s="90">
        <f t="shared" ca="1" si="86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22055</v>
      </c>
      <c r="M168" s="495">
        <f t="shared" ca="1" si="88"/>
        <v>22055</v>
      </c>
      <c r="N168" s="495">
        <f t="shared" ca="1" si="88"/>
        <v>22055</v>
      </c>
      <c r="O168" s="495">
        <f t="shared" ca="1" si="85"/>
        <v>100</v>
      </c>
      <c r="P168" s="495">
        <f t="shared" ca="1" si="86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IFERROR(__xludf.DUMMYFUNCTION("IMPORTRANGE(""https://docs.google.com/spreadsheets/d/1MeEWN-I1oV_STSDYn1IFDPWt_1FKiwhDph83XaGc0o0/edit?usp=sharing"",""งบพรบ!CE71"")"),22055)</f>
        <v>22055</v>
      </c>
      <c r="M170" s="90">
        <f ca="1">IFERROR(__xludf.DUMMYFUNCTION("IMPORTRANGE(""https://docs.google.com/spreadsheets/d/1MeEWN-I1oV_STSDYn1IFDPWt_1FKiwhDph83XaGc0o0/edit?usp=sharing"",""งบพรบ!CJ71"")"),22055)</f>
        <v>22055</v>
      </c>
      <c r="N170" s="90">
        <f ca="1">IFERROR(__xludf.DUMMYFUNCTION("IMPORTRANGE(""https://docs.google.com/spreadsheets/d/1MeEWN-I1oV_STSDYn1IFDPWt_1FKiwhDph83XaGc0o0/edit?usp=sharing"",""งบพรบ!CL71"")"),22055)</f>
        <v>22055</v>
      </c>
      <c r="O170" s="90">
        <f t="shared" ca="1" si="85"/>
        <v>100</v>
      </c>
      <c r="P170" s="90">
        <f t="shared" ca="1" si="86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IFERROR(__xludf.DUMMYFUNCTION("IMPORTRANGE(""https://docs.google.com/spreadsheets/d/1MeEWN-I1oV_STSDYn1IFDPWt_1FKiwhDph83XaGc0o0/edit?usp=sharing"",""งบพรบ!CH71"")"),0)</f>
        <v>0</v>
      </c>
      <c r="M173" s="90">
        <f ca="1">IFERROR(__xludf.DUMMYFUNCTION("IMPORTRANGE(""https://docs.google.com/spreadsheets/d/1MeEWN-I1oV_STSDYn1IFDPWt_1FKiwhDph83XaGc0o0/edit?usp=sharing"",""งบพรบ!CK71"")"),0)</f>
        <v>0</v>
      </c>
      <c r="N173" s="90">
        <f ca="1">IFERROR(__xludf.DUMMYFUNCTION("IMPORTRANGE(""https://docs.google.com/spreadsheets/d/1MeEWN-I1oV_STSDYn1IFDPWt_1FKiwhDph83XaGc0o0/edit?usp=sharing"",""งบพรบ!CM71"")"),0)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11</v>
      </c>
      <c r="J174" s="255">
        <f t="shared" si="90"/>
        <v>11</v>
      </c>
      <c r="K174" s="256">
        <f ca="1">IF(I174&gt;0,J174*100/I174,0)</f>
        <v>100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IFERROR(__xludf.DUMMYFUNCTION("IMPORTRANGE(""https://docs.google.com/spreadsheets/d/1QqKyyYR6Q21VydFLVH3TRQUabQu_ym0Zz7PgGX0-kHA/edit?usp=sharing"",""แผน!Y71"")"),11)</f>
        <v>11</v>
      </c>
      <c r="J176" s="210">
        <v>11</v>
      </c>
      <c r="K176" s="159">
        <f ca="1">IF(I176&gt;0,J176*100/I176,0)</f>
        <v>100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12500</v>
      </c>
      <c r="M181" s="150">
        <f t="shared" ca="1" si="91"/>
        <v>3000</v>
      </c>
      <c r="N181" s="150">
        <f t="shared" ca="1" si="91"/>
        <v>0</v>
      </c>
      <c r="O181" s="150">
        <f t="shared" ref="O181:O189" ca="1" si="92">IF(L181&gt;0,N181*100/L181,0)</f>
        <v>0</v>
      </c>
      <c r="P181" s="150">
        <f t="shared" ref="P181:P189" ca="1" si="93">IF(M181&gt;0,N181*100/M181,0)</f>
        <v>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12500</v>
      </c>
      <c r="M183" s="90">
        <f t="shared" ca="1" si="94"/>
        <v>3000</v>
      </c>
      <c r="N183" s="90">
        <f t="shared" ca="1" si="94"/>
        <v>0</v>
      </c>
      <c r="O183" s="90">
        <f t="shared" ca="1" si="92"/>
        <v>0</v>
      </c>
      <c r="P183" s="90">
        <f t="shared" ca="1" si="93"/>
        <v>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12500</v>
      </c>
      <c r="M184" s="495">
        <f t="shared" ca="1" si="95"/>
        <v>3000</v>
      </c>
      <c r="N184" s="495">
        <f t="shared" ca="1" si="95"/>
        <v>0</v>
      </c>
      <c r="O184" s="495">
        <f t="shared" ca="1" si="92"/>
        <v>0</v>
      </c>
      <c r="P184" s="495">
        <f t="shared" ca="1" si="93"/>
        <v>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IFERROR(__xludf.DUMMYFUNCTION("IMPORTRANGE(""https://docs.google.com/spreadsheets/d/1MeEWN-I1oV_STSDYn1IFDPWt_1FKiwhDph83XaGc0o0/edit?usp=sharing"",""งบพรบ!CO71"")"),12500)</f>
        <v>12500</v>
      </c>
      <c r="M186" s="90">
        <f ca="1">IFERROR(__xludf.DUMMYFUNCTION("IMPORTRANGE(""https://docs.google.com/spreadsheets/d/1MeEWN-I1oV_STSDYn1IFDPWt_1FKiwhDph83XaGc0o0/edit?usp=sharing"",""งบพรบ!CT71"")"),3000)</f>
        <v>3000</v>
      </c>
      <c r="N186" s="90">
        <f ca="1">IFERROR(__xludf.DUMMYFUNCTION("IMPORTRANGE(""https://docs.google.com/spreadsheets/d/1MeEWN-I1oV_STSDYn1IFDPWt_1FKiwhDph83XaGc0o0/edit?usp=sharing"",""งบพรบ!CV71"")"),0)</f>
        <v>0</v>
      </c>
      <c r="O186" s="90">
        <f t="shared" ca="1" si="92"/>
        <v>0</v>
      </c>
      <c r="P186" s="90">
        <f t="shared" ca="1" si="93"/>
        <v>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IFERROR(__xludf.DUMMYFUNCTION("IMPORTRANGE(""https://docs.google.com/spreadsheets/d/1MeEWN-I1oV_STSDYn1IFDPWt_1FKiwhDph83XaGc0o0/edit?usp=sharing"",""งบพรบ!CR71"")"),0)</f>
        <v>0</v>
      </c>
      <c r="M189" s="90">
        <f ca="1">IFERROR(__xludf.DUMMYFUNCTION("IMPORTRANGE(""https://docs.google.com/spreadsheets/d/1MeEWN-I1oV_STSDYn1IFDPWt_1FKiwhDph83XaGc0o0/edit?usp=sharing"",""งบพรบ!CU71"")"),0)</f>
        <v>0</v>
      </c>
      <c r="N189" s="90">
        <f ca="1">IFERROR(__xludf.DUMMYFUNCTION("IMPORTRANGE(""https://docs.google.com/spreadsheets/d/1MeEWN-I1oV_STSDYn1IFDPWt_1FKiwhDph83XaGc0o0/edit?usp=sharing"",""งบพรบ!CW71"")"),0)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IFERROR(__xludf.DUMMYFUNCTION("IMPORTRANGE(""https://docs.google.com/spreadsheets/d/1QqKyyYR6Q21VydFLVH3TRQUabQu_ym0Zz7PgGX0-kHA/edit?usp=sharing"",""แผน!Z71"")"),6000)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IFERROR(__xludf.DUMMYFUNCTION("IMPORTRANGE(""https://docs.google.com/spreadsheets/d/1QqKyyYR6Q21VydFLVH3TRQUabQu_ym0Zz7PgGX0-kHA/edit?usp=sharing"",""แผน!AC71"")"),4)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 hidden="1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0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 hidden="1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 hidden="1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IFERROR(__xludf.DUMMYFUNCTION("IMPORTRANGE(""https://docs.google.com/spreadsheets/d/1QqKyyYR6Q21VydFLVH3TRQUabQu_ym0Zz7PgGX0-kHA/edit?usp=sharing"",""แผน!AE71"")"),0)</f>
        <v>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 hidden="1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IFERROR(__xludf.DUMMYFUNCTION("IMPORTRANGE(""https://docs.google.com/spreadsheets/d/1QqKyyYR6Q21VydFLVH3TRQUabQu_ym0Zz7PgGX0-kHA/edit?usp=sharing"",""แผน!AF71"")"),0)</f>
        <v>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 hidden="1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IFERROR(__xludf.DUMMYFUNCTION("IMPORTRANGE(""https://docs.google.com/spreadsheets/d/1QqKyyYR6Q21VydFLVH3TRQUabQu_ym0Zz7PgGX0-kHA/edit?usp=sharing"",""แผน!AG71"")"),0)</f>
        <v>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 hidden="1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IFERROR(__xludf.DUMMYFUNCTION("IMPORTRANGE(""https://docs.google.com/spreadsheets/d/1QqKyyYR6Q21VydFLVH3TRQUabQu_ym0Zz7PgGX0-kHA/edit?usp=sharing"",""แผน!AH71"")"),0)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 hidden="1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 hidden="1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IFERROR(__xludf.DUMMYFUNCTION("IMPORTRANGE(""https://docs.google.com/spreadsheets/d/1QqKyyYR6Q21VydFLVH3TRQUabQu_ym0Zz7PgGX0-kHA/edit?usp=sharing"",""แผน!AI71"")"),0)</f>
        <v>0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 hidden="1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 hidden="1">
      <c r="A206" s="166"/>
      <c r="B206" s="167"/>
      <c r="C206" s="167"/>
      <c r="D206" s="174"/>
      <c r="E206" s="445" t="s">
        <v>343</v>
      </c>
      <c r="F206" s="174"/>
      <c r="G206" s="175"/>
      <c r="H206" s="752" t="s">
        <v>96</v>
      </c>
      <c r="I206" s="264"/>
      <c r="J206" s="210">
        <v>0</v>
      </c>
      <c r="K206" s="159"/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 hidden="1">
      <c r="A207" s="166"/>
      <c r="B207" s="167"/>
      <c r="C207" s="167"/>
      <c r="D207" s="445"/>
      <c r="E207" s="445" t="s">
        <v>344</v>
      </c>
      <c r="F207" s="174"/>
      <c r="G207" s="175"/>
      <c r="H207" s="754" t="s">
        <v>69</v>
      </c>
      <c r="I207" s="264"/>
      <c r="J207" s="210">
        <v>0</v>
      </c>
      <c r="K207" s="159"/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99">I215</f>
        <v>0</v>
      </c>
      <c r="J208" s="266">
        <f t="shared" si="99"/>
        <v>0</v>
      </c>
      <c r="K208" s="267">
        <f ca="1">IF(I208&gt;0,J208*100/I208,0)</f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IFERROR(__xludf.DUMMYFUNCTION("IMPORTRANGE(""https://docs.google.com/spreadsheets/d/1QqKyyYR6Q21VydFLVH3TRQUabQu_ym0Zz7PgGX0-kHA/edit?usp=sharing"",""แผน!AK71"")"),0)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IFERROR(__xludf.DUMMYFUNCTION("IMPORTRANGE(""https://docs.google.com/spreadsheets/d/1QqKyyYR6Q21VydFLVH3TRQUabQu_ym0Zz7PgGX0-kHA/edit?usp=sharing"",""แผน!AL71"")"),0)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IFERROR(__xludf.DUMMYFUNCTION("IMPORTRANGE(""https://docs.google.com/spreadsheets/d/1QqKyyYR6Q21VydFLVH3TRQUabQu_ym0Zz7PgGX0-kHA/edit?usp=sharing"",""แผน!AM71"")"),0)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IFERROR(__xludf.DUMMYFUNCTION("IMPORTRANGE(""https://docs.google.com/spreadsheets/d/1QqKyyYR6Q21VydFLVH3TRQUabQu_ym0Zz7PgGX0-kHA/edit?usp=sharing"",""แผน!AN71"")"),0)</f>
        <v>0</v>
      </c>
      <c r="J214" s="210">
        <v>0</v>
      </c>
      <c r="K214" s="495">
        <f t="shared" ref="K214:K216" ca="1" si="100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IFERROR(__xludf.DUMMYFUNCTION("IMPORTRANGE(""https://docs.google.com/spreadsheets/d/1QqKyyYR6Q21VydFLVH3TRQUabQu_ym0Zz7PgGX0-kHA/edit?usp=sharing"",""แผน!AN71"")"),0)</f>
        <v>0</v>
      </c>
      <c r="J215" s="210">
        <v>0</v>
      </c>
      <c r="K215" s="495">
        <f t="shared" ca="1" si="100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1">I224</f>
        <v>10000</v>
      </c>
      <c r="J216" s="266">
        <f t="shared" si="101"/>
        <v>0</v>
      </c>
      <c r="K216" s="267">
        <f t="shared" ca="1" si="100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6500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IFERROR(__xludf.DUMMYFUNCTION("IMPORTRANGE(""https://docs.google.com/spreadsheets/d/1QqKyyYR6Q21VydFLVH3TRQUabQu_ym0Zz7PgGX0-kHA/edit?usp=sharing"",""แผน!AP71"")"),3000)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IFERROR(__xludf.DUMMYFUNCTION("IMPORTRANGE(""https://docs.google.com/spreadsheets/d/1QqKyyYR6Q21VydFLVH3TRQUabQu_ym0Zz7PgGX0-kHA/edit?usp=sharing"",""แผน!AQ71"")"),3500)</f>
        <v>3500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IFERROR(__xludf.DUMMYFUNCTION("IMPORTRANGE(""https://docs.google.com/spreadsheets/d/1QqKyyYR6Q21VydFLVH3TRQUabQu_ym0Zz7PgGX0-kHA/edit?usp=sharing"",""แผน!AR71"")"),0)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IFERROR(__xludf.DUMMYFUNCTION("IMPORTRANGE(""https://docs.google.com/spreadsheets/d/1QqKyyYR6Q21VydFLVH3TRQUabQu_ym0Zz7PgGX0-kHA/edit?usp=sharing"",""แผน!AT71"")"),10000)</f>
        <v>10000</v>
      </c>
      <c r="J223" s="210">
        <v>0</v>
      </c>
      <c r="K223" s="159">
        <f t="shared" ref="K223:K226" ca="1" si="102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IFERROR(__xludf.DUMMYFUNCTION("IMPORTRANGE(""https://docs.google.com/spreadsheets/d/1QqKyyYR6Q21VydFLVH3TRQUabQu_ym0Zz7PgGX0-kHA/edit?usp=sharing"",""แผน!AT71"")"),10000)</f>
        <v>10000</v>
      </c>
      <c r="J224" s="210">
        <v>0</v>
      </c>
      <c r="K224" s="159">
        <f t="shared" ca="1" si="102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IFERROR(__xludf.DUMMYFUNCTION("IMPORTRANGE(""https://docs.google.com/spreadsheets/d/1QqKyyYR6Q21VydFLVH3TRQUabQu_ym0Zz7PgGX0-kHA/edit?usp=sharing"",""แผน!AS71"")"),0)</f>
        <v>0</v>
      </c>
      <c r="J225" s="210">
        <v>0</v>
      </c>
      <c r="K225" s="159">
        <f t="shared" ca="1" si="102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3">I237+I248</f>
        <v>#VALUE!</v>
      </c>
      <c r="J226" s="340">
        <f t="shared" si="103"/>
        <v>0</v>
      </c>
      <c r="K226" s="341" t="e">
        <f t="shared" ca="1" si="102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4">L238+L249</f>
        <v>0</v>
      </c>
      <c r="M227" s="351"/>
      <c r="N227" s="351">
        <f t="shared" ref="N227:N231" si="105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4"/>
        <v>0</v>
      </c>
      <c r="M228" s="90"/>
      <c r="N228" s="90">
        <f t="shared" si="105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4"/>
        <v>0</v>
      </c>
      <c r="M229" s="90"/>
      <c r="N229" s="90">
        <f t="shared" si="105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4"/>
        <v>0</v>
      </c>
      <c r="M230" s="90"/>
      <c r="N230" s="90">
        <f t="shared" si="105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4"/>
        <v>0</v>
      </c>
      <c r="M231" s="90"/>
      <c r="N231" s="90">
        <f t="shared" si="105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6">I244+I255</f>
        <v>#VALUE!</v>
      </c>
      <c r="J233" s="609">
        <f t="shared" si="106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7">I246+I257</f>
        <v>0</v>
      </c>
      <c r="J235" s="609">
        <f t="shared" si="107"/>
        <v>0</v>
      </c>
      <c r="K235" s="90">
        <f t="shared" ref="K235:K237" si="108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7"/>
        <v>0</v>
      </c>
      <c r="J236" s="609">
        <f t="shared" si="107"/>
        <v>0</v>
      </c>
      <c r="K236" s="90">
        <f t="shared" si="108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09">I244</f>
        <v>0</v>
      </c>
      <c r="J237" s="266">
        <f t="shared" si="109"/>
        <v>0</v>
      </c>
      <c r="K237" s="267">
        <f t="shared" ca="1" si="108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IFERROR(__xludf.DUMMYFUNCTION("IMPORTRANGE(""https://docs.google.com/spreadsheets/d/1QqKyyYR6Q21VydFLVH3TRQUabQu_ym0Zz7PgGX0-kHA/edit?usp=sharing"",""แผน!AV71"")"),0)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IFERROR(__xludf.DUMMYFUNCTION("IMPORTRANGE(""https://docs.google.com/spreadsheets/d/1QqKyyYR6Q21VydFLVH3TRQUabQu_ym0Zz7PgGX0-kHA/edit?usp=sharing"",""แผน!AW71"")"),0)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IFERROR(__xludf.DUMMYFUNCTION("IMPORTRANGE(""https://docs.google.com/spreadsheets/d/1QqKyyYR6Q21VydFLVH3TRQUabQu_ym0Zz7PgGX0-kHA/edit?usp=sharing"",""แผน!AX71"")"),0)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IFERROR(__xludf.DUMMYFUNCTION("IMPORTRANGE(""https://docs.google.com/spreadsheets/d/1QqKyyYR6Q21VydFLVH3TRQUabQu_ym0Zz7PgGX0-kHA/edit?usp=sharing"",""แผน!AY71"")"),0)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IFERROR(__xludf.DUMMYFUNCTION("IMPORTRANGE(""https://docs.google.com/spreadsheets/d/1QqKyyYR6Q21VydFLVH3TRQUabQu_ym0Zz7PgGX0-kHA/edit?usp=sharing"",""แผน!BE71"")"),0)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0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0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1">I255</f>
        <v/>
      </c>
      <c r="J248" s="266">
        <f t="shared" si="111"/>
        <v>0</v>
      </c>
      <c r="K248" s="267" t="e">
        <f t="shared" ca="1" si="110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IFERROR(__xludf.DUMMYFUNCTION("IMPORTRANGE(""https://docs.google.com/spreadsheets/d/1QqKyyYR6Q21VydFLVH3TRQUabQu_ym0Zz7PgGX0-kHA/edit?usp=sharing"",""แผน!AZ71"")"),0)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IFERROR(__xludf.DUMMYFUNCTION("IMPORTRANGE(""https://docs.google.com/spreadsheets/d/1QqKyyYR6Q21VydFLVH3TRQUabQu_ym0Zz7PgGX0-kHA/edit?usp=sharing"",""แผน!BA71"")"),0)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IFERROR(__xludf.DUMMYFUNCTION("IMPORTRANGE(""https://docs.google.com/spreadsheets/d/1QqKyyYR6Q21VydFLVH3TRQUabQu_ym0Zz7PgGX0-kHA/edit?usp=sharing"",""แผน!BB71"")"),0)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IFERROR(__xludf.DUMMYFUNCTION("IMPORTRANGE(""https://docs.google.com/spreadsheets/d/1QqKyyYR6Q21VydFLVH3TRQUabQu_ym0Zz7PgGX0-kHA/edit?usp=sharing"",""แผน!BC71"")"),0)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IFERROR(__xludf.DUMMYFUNCTION("IMPORTRANGE(""https://docs.google.com/spreadsheets/d/1QqKyyYR6Q21VydFLVH3TRQUabQu_ym0Zz7PgGX0-kHA/edit?usp=sharing"",""แผน!BF71"")"),"")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2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2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3">I271</f>
        <v>10</v>
      </c>
      <c r="J260" s="371">
        <f t="shared" si="113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4">L262+L263</f>
        <v>158500</v>
      </c>
      <c r="M261" s="151">
        <f t="shared" ca="1" si="114"/>
        <v>65000</v>
      </c>
      <c r="N261" s="151">
        <f t="shared" ca="1" si="114"/>
        <v>22533.33</v>
      </c>
      <c r="O261" s="151">
        <f t="shared" ref="O261:O269" ca="1" si="115">IF(L261&gt;0,N261*100/L261,0)</f>
        <v>14.216611987381704</v>
      </c>
      <c r="P261" s="151">
        <f t="shared" ref="P261:P269" ca="1" si="116">IF(M261&gt;0,N261*100/M261,0)</f>
        <v>34.66666153846154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7">L265+L268</f>
        <v>0</v>
      </c>
      <c r="M262" s="90">
        <f t="shared" si="117"/>
        <v>0</v>
      </c>
      <c r="N262" s="90">
        <f t="shared" si="117"/>
        <v>0</v>
      </c>
      <c r="O262" s="90">
        <f t="shared" si="115"/>
        <v>0</v>
      </c>
      <c r="P262" s="90">
        <f t="shared" si="116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7"/>
        <v>158500</v>
      </c>
      <c r="M263" s="90">
        <f t="shared" ca="1" si="117"/>
        <v>65000</v>
      </c>
      <c r="N263" s="90">
        <f t="shared" ca="1" si="117"/>
        <v>22533.33</v>
      </c>
      <c r="O263" s="90">
        <f t="shared" ca="1" si="115"/>
        <v>14.216611987381704</v>
      </c>
      <c r="P263" s="90">
        <f t="shared" ca="1" si="116"/>
        <v>34.66666153846154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8">L265+L266</f>
        <v>158500</v>
      </c>
      <c r="M264" s="495">
        <f t="shared" ca="1" si="118"/>
        <v>65000</v>
      </c>
      <c r="N264" s="495">
        <f t="shared" ca="1" si="118"/>
        <v>22533.33</v>
      </c>
      <c r="O264" s="495">
        <f t="shared" ca="1" si="115"/>
        <v>14.216611987381704</v>
      </c>
      <c r="P264" s="495">
        <f t="shared" ca="1" si="116"/>
        <v>34.66666153846154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5"/>
        <v>0</v>
      </c>
      <c r="P265" s="90">
        <f t="shared" si="116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IFERROR(__xludf.DUMMYFUNCTION("IMPORTRANGE(""https://docs.google.com/spreadsheets/d/1MeEWN-I1oV_STSDYn1IFDPWt_1FKiwhDph83XaGc0o0/edit?usp=sharing"",""งบพรบ!CY71"")"),158500)</f>
        <v>158500</v>
      </c>
      <c r="M266" s="90">
        <f ca="1">IFERROR(__xludf.DUMMYFUNCTION("IMPORTRANGE(""https://docs.google.com/spreadsheets/d/1MeEWN-I1oV_STSDYn1IFDPWt_1FKiwhDph83XaGc0o0/edit?usp=sharing"",""งบพรบ!DD71"")"),65000)</f>
        <v>65000</v>
      </c>
      <c r="N266" s="90">
        <f ca="1">IFERROR(__xludf.DUMMYFUNCTION("IMPORTRANGE(""https://docs.google.com/spreadsheets/d/1MeEWN-I1oV_STSDYn1IFDPWt_1FKiwhDph83XaGc0o0/edit?usp=sharing"",""งบพรบ!DF71"")"),22533.33)</f>
        <v>22533.33</v>
      </c>
      <c r="O266" s="90">
        <f t="shared" ca="1" si="115"/>
        <v>14.216611987381704</v>
      </c>
      <c r="P266" s="90">
        <f t="shared" ca="1" si="116"/>
        <v>34.66666153846154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19">L268+L269</f>
        <v>0</v>
      </c>
      <c r="M267" s="495">
        <f t="shared" ca="1" si="119"/>
        <v>0</v>
      </c>
      <c r="N267" s="495">
        <f t="shared" ca="1" si="119"/>
        <v>0</v>
      </c>
      <c r="O267" s="495">
        <f t="shared" ca="1" si="115"/>
        <v>0</v>
      </c>
      <c r="P267" s="495">
        <f t="shared" ca="1" si="116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5"/>
        <v>0</v>
      </c>
      <c r="P268" s="90">
        <f t="shared" si="116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IFERROR(__xludf.DUMMYFUNCTION("IMPORTRANGE(""https://docs.google.com/spreadsheets/d/1MeEWN-I1oV_STSDYn1IFDPWt_1FKiwhDph83XaGc0o0/edit?usp=sharing"",""งบพรบ!DB71"")"),0)</f>
        <v>0</v>
      </c>
      <c r="M269" s="90">
        <f ca="1">IFERROR(__xludf.DUMMYFUNCTION("IMPORTRANGE(""https://docs.google.com/spreadsheets/d/1MeEWN-I1oV_STSDYn1IFDPWt_1FKiwhDph83XaGc0o0/edit?usp=sharing"",""งบพรบ!DE71"")"),0)</f>
        <v>0</v>
      </c>
      <c r="N269" s="90">
        <f ca="1">IFERROR(__xludf.DUMMYFUNCTION("IMPORTRANGE(""https://docs.google.com/spreadsheets/d/1MeEWN-I1oV_STSDYn1IFDPWt_1FKiwhDph83XaGc0o0/edit?usp=sharing"",""งบพรบ!DG71"")"),0)</f>
        <v>0</v>
      </c>
      <c r="O269" s="90">
        <f t="shared" ca="1" si="115"/>
        <v>0</v>
      </c>
      <c r="P269" s="90">
        <f t="shared" ca="1" si="116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IFERROR(__xludf.DUMMYFUNCTION("IMPORTRANGE(""https://docs.google.com/spreadsheets/d/1QqKyyYR6Q21VydFLVH3TRQUabQu_ym0Zz7PgGX0-kHA/edit?usp=sharing"",""แผน!EA71"")"),10)</f>
        <v>10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0">I288</f>
        <v>0</v>
      </c>
      <c r="J275" s="403">
        <f t="shared" ca="1" si="120"/>
        <v>0</v>
      </c>
      <c r="K275" s="404">
        <f t="shared" ref="K275:K276" ca="1" si="121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2">I287</f>
        <v>0</v>
      </c>
      <c r="J276" s="407">
        <f t="shared" si="122"/>
        <v>0</v>
      </c>
      <c r="K276" s="405">
        <f t="shared" ca="1" si="121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3">L278+L279</f>
        <v>0</v>
      </c>
      <c r="M277" s="151">
        <f t="shared" ca="1" si="123"/>
        <v>0</v>
      </c>
      <c r="N277" s="151">
        <f t="shared" ca="1" si="123"/>
        <v>0</v>
      </c>
      <c r="O277" s="151">
        <f t="shared" ref="O277:O285" ca="1" si="124">IF(L277&gt;0,N277*100/L277,0)</f>
        <v>0</v>
      </c>
      <c r="P277" s="151">
        <f t="shared" ref="P277:P285" ca="1" si="125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6">L281+L284</f>
        <v>0</v>
      </c>
      <c r="M278" s="90">
        <f t="shared" si="126"/>
        <v>0</v>
      </c>
      <c r="N278" s="90">
        <f t="shared" si="126"/>
        <v>0</v>
      </c>
      <c r="O278" s="90">
        <f t="shared" si="124"/>
        <v>0</v>
      </c>
      <c r="P278" s="90">
        <f t="shared" si="125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6"/>
        <v>0</v>
      </c>
      <c r="M279" s="90">
        <f t="shared" ca="1" si="126"/>
        <v>0</v>
      </c>
      <c r="N279" s="90">
        <f t="shared" ca="1" si="126"/>
        <v>0</v>
      </c>
      <c r="O279" s="90">
        <f t="shared" ca="1" si="124"/>
        <v>0</v>
      </c>
      <c r="P279" s="90">
        <f t="shared" ca="1" si="125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7">L281+L282</f>
        <v>0</v>
      </c>
      <c r="M280" s="495">
        <f t="shared" ca="1" si="127"/>
        <v>0</v>
      </c>
      <c r="N280" s="495">
        <f t="shared" ca="1" si="127"/>
        <v>0</v>
      </c>
      <c r="O280" s="495">
        <f t="shared" ca="1" si="124"/>
        <v>0</v>
      </c>
      <c r="P280" s="495">
        <f t="shared" ca="1" si="125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4"/>
        <v>0</v>
      </c>
      <c r="P281" s="90">
        <f t="shared" si="125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IFERROR(__xludf.DUMMYFUNCTION("IMPORTRANGE(""https://docs.google.com/spreadsheets/d/1MeEWN-I1oV_STSDYn1IFDPWt_1FKiwhDph83XaGc0o0/edit?usp=sharing"",""งบพรบ!DI71"")"),0)</f>
        <v>0</v>
      </c>
      <c r="M282" s="90">
        <f ca="1">IFERROR(__xludf.DUMMYFUNCTION("IMPORTRANGE(""https://docs.google.com/spreadsheets/d/1MeEWN-I1oV_STSDYn1IFDPWt_1FKiwhDph83XaGc0o0/edit?usp=sharing"",""งบพรบ!DN71"")"),0)</f>
        <v>0</v>
      </c>
      <c r="N282" s="90">
        <f ca="1">IFERROR(__xludf.DUMMYFUNCTION("IMPORTRANGE(""https://docs.google.com/spreadsheets/d/1MeEWN-I1oV_STSDYn1IFDPWt_1FKiwhDph83XaGc0o0/edit?usp=sharing"",""งบพรบ!DP71"")"),0)</f>
        <v>0</v>
      </c>
      <c r="O282" s="90">
        <f t="shared" ca="1" si="124"/>
        <v>0</v>
      </c>
      <c r="P282" s="90">
        <f t="shared" ca="1" si="125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8">L284+L285</f>
        <v>0</v>
      </c>
      <c r="M283" s="495">
        <f t="shared" ca="1" si="128"/>
        <v>0</v>
      </c>
      <c r="N283" s="495">
        <f t="shared" ca="1" si="128"/>
        <v>0</v>
      </c>
      <c r="O283" s="495">
        <f t="shared" ca="1" si="124"/>
        <v>0</v>
      </c>
      <c r="P283" s="495">
        <f t="shared" ca="1" si="125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4"/>
        <v>0</v>
      </c>
      <c r="P284" s="90">
        <f t="shared" si="125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IFERROR(__xludf.DUMMYFUNCTION("IMPORTRANGE(""https://docs.google.com/spreadsheets/d/1MeEWN-I1oV_STSDYn1IFDPWt_1FKiwhDph83XaGc0o0/edit?usp=sharing"",""งบพรบ!DL71"")"),0)</f>
        <v>0</v>
      </c>
      <c r="M285" s="90">
        <f ca="1">IFERROR(__xludf.DUMMYFUNCTION("IMPORTRANGE(""https://docs.google.com/spreadsheets/d/1MeEWN-I1oV_STSDYn1IFDPWt_1FKiwhDph83XaGc0o0/edit?usp=sharing"",""งบพรบ!DO71"")"),0)</f>
        <v>0</v>
      </c>
      <c r="N285" s="90">
        <f ca="1">IFERROR(__xludf.DUMMYFUNCTION("IMPORTRANGE(""https://docs.google.com/spreadsheets/d/1MeEWN-I1oV_STSDYn1IFDPWt_1FKiwhDph83XaGc0o0/edit?usp=sharing"",""งบพรบ!DQ71"")"),0)</f>
        <v>0</v>
      </c>
      <c r="O285" s="90">
        <f t="shared" ca="1" si="124"/>
        <v>0</v>
      </c>
      <c r="P285" s="90">
        <f t="shared" ca="1" si="125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IFERROR(__xludf.DUMMYFUNCTION("IMPORTRANGE(""https://docs.google.com/spreadsheets/d/1QqKyyYR6Q21VydFLVH3TRQUabQu_ym0Zz7PgGX0-kHA/edit?usp=sharing"",""แผน!EC71"")"),0)</f>
        <v>0</v>
      </c>
      <c r="J287" s="264">
        <v>0</v>
      </c>
      <c r="K287" s="159">
        <f t="shared" ref="K287:K288" ca="1" si="129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IFERROR(__xludf.DUMMYFUNCTION("IMPORTRANGE(""https://docs.google.com/spreadsheets/d/1QqKyyYR6Q21VydFLVH3TRQUabQu_ym0Zz7PgGX0-kHA/edit?usp=sharing"",""แผน!EB71"")"),0)</f>
        <v>0</v>
      </c>
      <c r="J288" s="673">
        <f ca="1">IF(AND(J291&gt;=I288,J294&gt;=I288),J294,0)</f>
        <v>0</v>
      </c>
      <c r="K288" s="409">
        <f t="shared" ca="1" si="129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IFERROR(__xludf.DUMMYFUNCTION("IMPORTRANGE(""https://docs.google.com/spreadsheets/d/1QqKyyYR6Q21VydFLVH3TRQUabQu_ym0Zz7PgGX0-kHA/edit?usp=sharing"",""แผน!EB71"")"),0)</f>
        <v>0</v>
      </c>
      <c r="J290" s="210">
        <v>0</v>
      </c>
      <c r="K290" s="159">
        <f t="shared" ref="K290:K291" ca="1" si="130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IFERROR(__xludf.DUMMYFUNCTION("IMPORTRANGE(""https://docs.google.com/spreadsheets/d/1QqKyyYR6Q21VydFLVH3TRQUabQu_ym0Zz7PgGX0-kHA/edit?usp=sharing"",""แผน!EB71"")"),0)</f>
        <v>0</v>
      </c>
      <c r="J291" s="210">
        <v>0</v>
      </c>
      <c r="K291" s="159">
        <f t="shared" ca="1" si="130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IFERROR(__xludf.DUMMYFUNCTION("IMPORTRANGE(""https://docs.google.com/spreadsheets/d/1QqKyyYR6Q21VydFLVH3TRQUabQu_ym0Zz7PgGX0-kHA/edit?usp=sharing"",""แผน!EB71"")"),0)</f>
        <v>0</v>
      </c>
      <c r="J293" s="210">
        <v>0</v>
      </c>
      <c r="K293" s="159">
        <f t="shared" ref="K293:K294" ca="1" si="131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IFERROR(__xludf.DUMMYFUNCTION("IMPORTRANGE(""https://docs.google.com/spreadsheets/d/1QqKyyYR6Q21VydFLVH3TRQUabQu_ym0Zz7PgGX0-kHA/edit?usp=sharing"",""แผน!EB71"")"),0)</f>
        <v>0</v>
      </c>
      <c r="J294" s="422">
        <v>0</v>
      </c>
      <c r="K294" s="382">
        <f t="shared" ca="1" si="131"/>
        <v>0</v>
      </c>
      <c r="L294" s="382"/>
      <c r="M294" s="382"/>
      <c r="N294" s="382"/>
      <c r="O294" s="382"/>
      <c r="P294" s="382"/>
    </row>
    <row r="295" spans="1:26" ht="19.5" hidden="1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 hidden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 hidden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2">I309</f>
        <v>0</v>
      </c>
      <c r="J297" s="442">
        <f t="shared" si="132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 hidden="1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3">L299+L300</f>
        <v>0</v>
      </c>
      <c r="M298" s="151">
        <f t="shared" ca="1" si="133"/>
        <v>0</v>
      </c>
      <c r="N298" s="151">
        <f t="shared" ca="1" si="133"/>
        <v>0</v>
      </c>
      <c r="O298" s="151">
        <f t="shared" ref="O298:O306" ca="1" si="134">IF(L298&gt;0,N298*100/L298,0)</f>
        <v>0</v>
      </c>
      <c r="P298" s="151">
        <f t="shared" ref="P298:P306" ca="1" si="135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6">L302+L305</f>
        <v>0</v>
      </c>
      <c r="M299" s="90">
        <f t="shared" si="136"/>
        <v>0</v>
      </c>
      <c r="N299" s="90">
        <f t="shared" si="136"/>
        <v>0</v>
      </c>
      <c r="O299" s="90">
        <f t="shared" si="134"/>
        <v>0</v>
      </c>
      <c r="P299" s="90">
        <f t="shared" si="135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6"/>
        <v>0</v>
      </c>
      <c r="M300" s="90">
        <f t="shared" ca="1" si="136"/>
        <v>0</v>
      </c>
      <c r="N300" s="90">
        <f t="shared" ca="1" si="136"/>
        <v>0</v>
      </c>
      <c r="O300" s="90">
        <f t="shared" ca="1" si="134"/>
        <v>0</v>
      </c>
      <c r="P300" s="90">
        <f t="shared" ca="1" si="135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7">L302+L303</f>
        <v>0</v>
      </c>
      <c r="M301" s="495">
        <f t="shared" ca="1" si="137"/>
        <v>0</v>
      </c>
      <c r="N301" s="495">
        <f t="shared" ca="1" si="137"/>
        <v>0</v>
      </c>
      <c r="O301" s="495">
        <f t="shared" ca="1" si="134"/>
        <v>0</v>
      </c>
      <c r="P301" s="495">
        <f t="shared" ca="1" si="135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4"/>
        <v>0</v>
      </c>
      <c r="P302" s="90">
        <f t="shared" si="135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IFERROR(__xludf.DUMMYFUNCTION("IMPORTRANGE(""https://docs.google.com/spreadsheets/d/1MeEWN-I1oV_STSDYn1IFDPWt_1FKiwhDph83XaGc0o0/edit?usp=sharing"",""งบพรบ!DS71"")"),0)</f>
        <v>0</v>
      </c>
      <c r="M303" s="90">
        <f ca="1">IFERROR(__xludf.DUMMYFUNCTION("IMPORTRANGE(""https://docs.google.com/spreadsheets/d/1MeEWN-I1oV_STSDYn1IFDPWt_1FKiwhDph83XaGc0o0/edit?usp=sharing"",""งบพรบ!DX71"")"),0)</f>
        <v>0</v>
      </c>
      <c r="N303" s="90">
        <f ca="1">IFERROR(__xludf.DUMMYFUNCTION("IMPORTRANGE(""https://docs.google.com/spreadsheets/d/1MeEWN-I1oV_STSDYn1IFDPWt_1FKiwhDph83XaGc0o0/edit?usp=sharing"",""งบพรบ!DZ71"")"),0)</f>
        <v>0</v>
      </c>
      <c r="O303" s="90">
        <f t="shared" ca="1" si="134"/>
        <v>0</v>
      </c>
      <c r="P303" s="90">
        <f t="shared" ca="1" si="135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8">L305+L306</f>
        <v>0</v>
      </c>
      <c r="M304" s="495">
        <f t="shared" ca="1" si="138"/>
        <v>0</v>
      </c>
      <c r="N304" s="495">
        <f t="shared" ca="1" si="138"/>
        <v>0</v>
      </c>
      <c r="O304" s="495">
        <f t="shared" ca="1" si="134"/>
        <v>0</v>
      </c>
      <c r="P304" s="495">
        <f t="shared" ca="1" si="135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4"/>
        <v>0</v>
      </c>
      <c r="P305" s="90">
        <f t="shared" si="135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IFERROR(__xludf.DUMMYFUNCTION("IMPORTRANGE(""https://docs.google.com/spreadsheets/d/1MeEWN-I1oV_STSDYn1IFDPWt_1FKiwhDph83XaGc0o0/edit?usp=sharing"",""งบพรบ!DV71"")"),0)</f>
        <v>0</v>
      </c>
      <c r="M306" s="90">
        <f ca="1">IFERROR(__xludf.DUMMYFUNCTION("IMPORTRANGE(""https://docs.google.com/spreadsheets/d/1MeEWN-I1oV_STSDYn1IFDPWt_1FKiwhDph83XaGc0o0/edit?usp=sharing"",""งบพรบ!DY71"")"),0)</f>
        <v>0</v>
      </c>
      <c r="N306" s="90">
        <f ca="1">IFERROR(__xludf.DUMMYFUNCTION("IMPORTRANGE(""https://docs.google.com/spreadsheets/d/1MeEWN-I1oV_STSDYn1IFDPWt_1FKiwhDph83XaGc0o0/edit?usp=sharing"",""งบพรบ!EA71"")"),0)</f>
        <v>0</v>
      </c>
      <c r="O306" s="90">
        <f t="shared" ca="1" si="134"/>
        <v>0</v>
      </c>
      <c r="P306" s="90">
        <f t="shared" ca="1" si="135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 hidden="1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 hidden="1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IFERROR(__xludf.DUMMYFUNCTION("IMPORTRANGE(""https://docs.google.com/spreadsheets/d/1QqKyyYR6Q21VydFLVH3TRQUabQu_ym0Zz7PgGX0-kHA/edit?usp=sharing"",""แผน!ED71"")"),0)</f>
        <v>0</v>
      </c>
      <c r="J309" s="210">
        <v>0</v>
      </c>
      <c r="K309" s="495">
        <f t="shared" ref="K309:K312" ca="1" si="139">IF(I309&gt;0,J309*100/I309,0)</f>
        <v>0</v>
      </c>
      <c r="L309" s="495"/>
      <c r="M309" s="495"/>
      <c r="N309" s="495"/>
      <c r="O309" s="495"/>
      <c r="P309" s="495"/>
    </row>
    <row r="310" spans="1:26" ht="18.75" hidden="1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IFERROR(__xludf.DUMMYFUNCTION("IMPORTRANGE(""https://docs.google.com/spreadsheets/d/1QqKyyYR6Q21VydFLVH3TRQUabQu_ym0Zz7PgGX0-kHA/edit?usp=sharing"",""แผน!ED71"")"),0)</f>
        <v>0</v>
      </c>
      <c r="J310" s="210">
        <v>0</v>
      </c>
      <c r="K310" s="495">
        <f t="shared" ca="1" si="139"/>
        <v>0</v>
      </c>
      <c r="L310" s="495"/>
      <c r="M310" s="495"/>
      <c r="N310" s="495"/>
      <c r="O310" s="495"/>
      <c r="P310" s="495"/>
    </row>
    <row r="311" spans="1:26" ht="18.75" hidden="1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IFERROR(__xludf.DUMMYFUNCTION("IMPORTRANGE(""https://docs.google.com/spreadsheets/d/1QqKyyYR6Q21VydFLVH3TRQUabQu_ym0Zz7PgGX0-kHA/edit?usp=sharing"",""แผน!ED71"")"),0)</f>
        <v>0</v>
      </c>
      <c r="J311" s="210">
        <v>0</v>
      </c>
      <c r="K311" s="495">
        <f t="shared" ca="1" si="139"/>
        <v>0</v>
      </c>
      <c r="L311" s="495"/>
      <c r="M311" s="495"/>
      <c r="N311" s="495"/>
      <c r="O311" s="495"/>
      <c r="P311" s="495"/>
    </row>
    <row r="312" spans="1:26" ht="18.75" hidden="1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IFERROR(__xludf.DUMMYFUNCTION("IMPORTRANGE(""https://docs.google.com/spreadsheets/d/1QqKyyYR6Q21VydFLVH3TRQUabQu_ym0Zz7PgGX0-kHA/edit?usp=sharing"",""แผน!EE71"")"),0)</f>
        <v>0</v>
      </c>
      <c r="J312" s="210">
        <v>0</v>
      </c>
      <c r="K312" s="495">
        <f t="shared" ca="1" si="139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0">I325</f>
        <v>0</v>
      </c>
      <c r="J314" s="442">
        <f t="shared" si="140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1">L316+L317</f>
        <v>0</v>
      </c>
      <c r="M315" s="151">
        <f t="shared" ca="1" si="141"/>
        <v>0</v>
      </c>
      <c r="N315" s="151">
        <f t="shared" ca="1" si="141"/>
        <v>0</v>
      </c>
      <c r="O315" s="151">
        <f t="shared" ref="O315:O323" ca="1" si="142">IF(L315&gt;0,N315*100/L315,0)</f>
        <v>0</v>
      </c>
      <c r="P315" s="151">
        <f t="shared" ref="P315:P323" ca="1" si="143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4">L319+L322</f>
        <v>0</v>
      </c>
      <c r="M316" s="90">
        <f t="shared" si="144"/>
        <v>0</v>
      </c>
      <c r="N316" s="90">
        <f t="shared" si="144"/>
        <v>0</v>
      </c>
      <c r="O316" s="90">
        <f t="shared" si="142"/>
        <v>0</v>
      </c>
      <c r="P316" s="90">
        <f t="shared" si="143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4"/>
        <v>0</v>
      </c>
      <c r="M317" s="90">
        <f t="shared" ca="1" si="144"/>
        <v>0</v>
      </c>
      <c r="N317" s="90">
        <f t="shared" ca="1" si="144"/>
        <v>0</v>
      </c>
      <c r="O317" s="90">
        <f t="shared" ca="1" si="142"/>
        <v>0</v>
      </c>
      <c r="P317" s="90">
        <f t="shared" ca="1" si="143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5">L319+L320</f>
        <v>0</v>
      </c>
      <c r="M318" s="495">
        <f t="shared" ca="1" si="145"/>
        <v>0</v>
      </c>
      <c r="N318" s="495">
        <f t="shared" ca="1" si="145"/>
        <v>0</v>
      </c>
      <c r="O318" s="495">
        <f t="shared" ca="1" si="142"/>
        <v>0</v>
      </c>
      <c r="P318" s="495">
        <f t="shared" ca="1" si="143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2"/>
        <v>0</v>
      </c>
      <c r="P319" s="90">
        <f t="shared" si="143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IFERROR(__xludf.DUMMYFUNCTION("IMPORTRANGE(""https://docs.google.com/spreadsheets/d/1MeEWN-I1oV_STSDYn1IFDPWt_1FKiwhDph83XaGc0o0/edit?usp=sharing"",""งบพรบ!EC71"")"),0)</f>
        <v>0</v>
      </c>
      <c r="M320" s="90">
        <f ca="1">IFERROR(__xludf.DUMMYFUNCTION("IMPORTRANGE(""https://docs.google.com/spreadsheets/d/1MeEWN-I1oV_STSDYn1IFDPWt_1FKiwhDph83XaGc0o0/edit?usp=sharing"",""งบพรบ!EH71"")"),0)</f>
        <v>0</v>
      </c>
      <c r="N320" s="90">
        <f ca="1">IFERROR(__xludf.DUMMYFUNCTION("IMPORTRANGE(""https://docs.google.com/spreadsheets/d/1MeEWN-I1oV_STSDYn1IFDPWt_1FKiwhDph83XaGc0o0/edit?usp=sharing"",""งบพรบ!EJ71"")"),0)</f>
        <v>0</v>
      </c>
      <c r="O320" s="90">
        <f t="shared" ca="1" si="142"/>
        <v>0</v>
      </c>
      <c r="P320" s="90">
        <f t="shared" ca="1" si="143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6">L322+L323</f>
        <v>0</v>
      </c>
      <c r="M321" s="495">
        <f t="shared" ca="1" si="146"/>
        <v>0</v>
      </c>
      <c r="N321" s="495">
        <f t="shared" ca="1" si="146"/>
        <v>0</v>
      </c>
      <c r="O321" s="495">
        <f t="shared" ca="1" si="142"/>
        <v>0</v>
      </c>
      <c r="P321" s="495">
        <f t="shared" ca="1" si="143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2"/>
        <v>0</v>
      </c>
      <c r="P322" s="90">
        <f t="shared" si="143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IFERROR(__xludf.DUMMYFUNCTION("IMPORTRANGE(""https://docs.google.com/spreadsheets/d/1MeEWN-I1oV_STSDYn1IFDPWt_1FKiwhDph83XaGc0o0/edit?usp=sharing"",""งบพรบ!EF71"")"),0)</f>
        <v>0</v>
      </c>
      <c r="M323" s="90">
        <f ca="1">IFERROR(__xludf.DUMMYFUNCTION("IMPORTRANGE(""https://docs.google.com/spreadsheets/d/1MeEWN-I1oV_STSDYn1IFDPWt_1FKiwhDph83XaGc0o0/edit?usp=sharing"",""งบพรบ!EI71"")"),0)</f>
        <v>0</v>
      </c>
      <c r="N323" s="90">
        <f ca="1">IFERROR(__xludf.DUMMYFUNCTION("IMPORTRANGE(""https://docs.google.com/spreadsheets/d/1MeEWN-I1oV_STSDYn1IFDPWt_1FKiwhDph83XaGc0o0/edit?usp=sharing"",""งบพรบ!EK71"")"),0)</f>
        <v>0</v>
      </c>
      <c r="O323" s="90">
        <f t="shared" ca="1" si="142"/>
        <v>0</v>
      </c>
      <c r="P323" s="90">
        <f t="shared" ca="1" si="143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IFERROR(__xludf.DUMMYFUNCTION("IMPORTRANGE(""https://docs.google.com/spreadsheets/d/1QqKyyYR6Q21VydFLVH3TRQUabQu_ym0Zz7PgGX0-kHA/edit?usp=sharing"",""แผน!EF71"")"),0)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IFERROR(__xludf.DUMMYFUNCTION("IMPORTRANGE(""https://docs.google.com/spreadsheets/d/1QqKyyYR6Q21VydFLVH3TRQUabQu_ym0Zz7PgGX0-kHA/edit?usp=sharing"",""แผน!EG71"")"),50)</f>
        <v>50</v>
      </c>
      <c r="J327" s="442">
        <f ca="1">J338+J341+J342+J343</f>
        <v>2</v>
      </c>
      <c r="K327" s="443">
        <f ca="1">IF(I327&gt;0,J327*100/I327,0)</f>
        <v>4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7">L329+L330</f>
        <v>353600</v>
      </c>
      <c r="M328" s="151">
        <f t="shared" ca="1" si="147"/>
        <v>176800</v>
      </c>
      <c r="N328" s="151">
        <f t="shared" ca="1" si="147"/>
        <v>59966.66</v>
      </c>
      <c r="O328" s="151">
        <f t="shared" ref="O328:O336" ca="1" si="148">IF(L328&gt;0,N328*100/L328,0)</f>
        <v>16.958897058823528</v>
      </c>
      <c r="P328" s="151">
        <f t="shared" ref="P328:P336" ca="1" si="149">IF(M328&gt;0,N328*100/M328,0)</f>
        <v>33.917794117647055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0">L332+L335</f>
        <v>0</v>
      </c>
      <c r="M329" s="90">
        <f t="shared" si="150"/>
        <v>0</v>
      </c>
      <c r="N329" s="90">
        <f t="shared" si="150"/>
        <v>0</v>
      </c>
      <c r="O329" s="90">
        <f t="shared" si="148"/>
        <v>0</v>
      </c>
      <c r="P329" s="90">
        <f t="shared" si="149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0"/>
        <v>353600</v>
      </c>
      <c r="M330" s="90">
        <f t="shared" ca="1" si="150"/>
        <v>176800</v>
      </c>
      <c r="N330" s="90">
        <f t="shared" ca="1" si="150"/>
        <v>59966.66</v>
      </c>
      <c r="O330" s="90">
        <f t="shared" ca="1" si="148"/>
        <v>16.958897058823528</v>
      </c>
      <c r="P330" s="90">
        <f t="shared" ca="1" si="149"/>
        <v>33.917794117647055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1">L332+L333</f>
        <v>353600</v>
      </c>
      <c r="M331" s="495">
        <f t="shared" ca="1" si="151"/>
        <v>176800</v>
      </c>
      <c r="N331" s="495">
        <f t="shared" ca="1" si="151"/>
        <v>59966.66</v>
      </c>
      <c r="O331" s="495">
        <f t="shared" ca="1" si="148"/>
        <v>16.958897058823528</v>
      </c>
      <c r="P331" s="495">
        <f t="shared" ca="1" si="149"/>
        <v>33.917794117647055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8"/>
        <v>0</v>
      </c>
      <c r="P332" s="90">
        <f t="shared" si="149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IFERROR(__xludf.DUMMYFUNCTION("IMPORTRANGE(""https://docs.google.com/spreadsheets/d/1MeEWN-I1oV_STSDYn1IFDPWt_1FKiwhDph83XaGc0o0/edit?usp=sharing"",""งบพรบ!EM71"")"),353600)</f>
        <v>353600</v>
      </c>
      <c r="M333" s="90">
        <f ca="1">IFERROR(__xludf.DUMMYFUNCTION("IMPORTRANGE(""https://docs.google.com/spreadsheets/d/1MeEWN-I1oV_STSDYn1IFDPWt_1FKiwhDph83XaGc0o0/edit?usp=sharing"",""งบพรบ!ER71"")"),176800)</f>
        <v>176800</v>
      </c>
      <c r="N333" s="90">
        <f ca="1">IFERROR(__xludf.DUMMYFUNCTION("IMPORTRANGE(""https://docs.google.com/spreadsheets/d/1MeEWN-I1oV_STSDYn1IFDPWt_1FKiwhDph83XaGc0o0/edit?usp=sharing"",""งบพรบ!ET71"")"),59966.66)</f>
        <v>59966.66</v>
      </c>
      <c r="O333" s="90">
        <f t="shared" ca="1" si="148"/>
        <v>16.958897058823528</v>
      </c>
      <c r="P333" s="90">
        <f t="shared" ca="1" si="149"/>
        <v>33.917794117647055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2">L335+L336</f>
        <v>0</v>
      </c>
      <c r="M334" s="495">
        <f t="shared" ca="1" si="152"/>
        <v>0</v>
      </c>
      <c r="N334" s="495">
        <f t="shared" ca="1" si="152"/>
        <v>0</v>
      </c>
      <c r="O334" s="495">
        <f t="shared" ca="1" si="148"/>
        <v>0</v>
      </c>
      <c r="P334" s="495">
        <f t="shared" ca="1" si="149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8"/>
        <v>0</v>
      </c>
      <c r="P335" s="90">
        <f t="shared" si="149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IFERROR(__xludf.DUMMYFUNCTION("IMPORTRANGE(""https://docs.google.com/spreadsheets/d/1MeEWN-I1oV_STSDYn1IFDPWt_1FKiwhDph83XaGc0o0/edit?usp=sharing"",""งบพรบ!EP71"")"),0)</f>
        <v>0</v>
      </c>
      <c r="M336" s="90">
        <f ca="1">IFERROR(__xludf.DUMMYFUNCTION("IMPORTRANGE(""https://docs.google.com/spreadsheets/d/1MeEWN-I1oV_STSDYn1IFDPWt_1FKiwhDph83XaGc0o0/edit?usp=sharing"",""งบพรบ!ES71"")"),0)</f>
        <v>0</v>
      </c>
      <c r="N336" s="90">
        <f ca="1">IFERROR(__xludf.DUMMYFUNCTION("IMPORTRANGE(""https://docs.google.com/spreadsheets/d/1MeEWN-I1oV_STSDYn1IFDPWt_1FKiwhDph83XaGc0o0/edit?usp=sharing"",""งบพรบ!EU71"")"),0)</f>
        <v>0</v>
      </c>
      <c r="O336" s="90">
        <f t="shared" ca="1" si="148"/>
        <v>0</v>
      </c>
      <c r="P336" s="90">
        <f t="shared" ca="1" si="149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IFERROR(__xludf.DUMMYFUNCTION("IMPORTRANGE(""https://docs.google.com/spreadsheets/d/1QqKyyYR6Q21VydFLVH3TRQUabQu_ym0Zz7PgGX0-kHA/edit?usp=sharing"",""แผน!EG71"")"),50)</f>
        <v>50</v>
      </c>
      <c r="J338" s="264">
        <f ca="1">IFERROR(__xludf.DUMMYFUNCTION("IMPORTRANGE(""https://docs.google.com/spreadsheets/d/1kVcqe37tkHyjCSG3S0O1AXqVkqjo8mSIZil3BcpIysc/edit?usp=sharing"",""ศูนย์!D71"")"),2)</f>
        <v>2</v>
      </c>
      <c r="K338" s="495">
        <f ca="1">IF(I338&gt;0,J338*100/I338,0)</f>
        <v>4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IFERROR(__xludf.DUMMYFUNCTION("IMPORTRANGE(""https://docs.google.com/spreadsheets/d/1QqKyyYR6Q21VydFLVH3TRQUabQu_ym0Zz7PgGX0-kHA/edit?usp=sharing"",""แผน!EH71"")"),2)</f>
        <v>2</v>
      </c>
      <c r="J340" s="264">
        <f ca="1">IFERROR(__xludf.DUMMYFUNCTION("IMPORTRANGE(""https://docs.google.com/spreadsheets/d/1kVcqe37tkHyjCSG3S0O1AXqVkqjo8mSIZil3BcpIysc/edit?usp=sharing"",""ศูนย์!E71"")"),0)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IFERROR(__xludf.DUMMYFUNCTION("IMPORTRANGE(""https://docs.google.com/spreadsheets/d/1kVcqe37tkHyjCSG3S0O1AXqVkqjo8mSIZil3BcpIysc/edit?usp=sharing"",""ศูนย์!F71"")"),0)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IFERROR(__xludf.DUMMYFUNCTION("IMPORTRANGE(""https://docs.google.com/spreadsheets/d/1kVcqe37tkHyjCSG3S0O1AXqVkqjo8mSIZil3BcpIysc/edit?usp=sharing"",""ศูนย์!G71"")"),0)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IFERROR(__xludf.DUMMYFUNCTION("IMPORTRANGE(""https://docs.google.com/spreadsheets/d/1kVcqe37tkHyjCSG3S0O1AXqVkqjo8mSIZil3BcpIysc/edit?usp=sharing"",""ศูนย์!H71"")"),0)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3">L346+L347</f>
        <v>96770</v>
      </c>
      <c r="M345" s="151">
        <f t="shared" ca="1" si="153"/>
        <v>74030</v>
      </c>
      <c r="N345" s="151">
        <f t="shared" ca="1" si="153"/>
        <v>52040</v>
      </c>
      <c r="O345" s="151">
        <f t="shared" ref="O345:O353" ca="1" si="154">IF(L345&gt;0,N345*100/L345,0)</f>
        <v>53.776997003203469</v>
      </c>
      <c r="P345" s="151">
        <f t="shared" ref="P345:P353" ca="1" si="155">IF(M345&gt;0,N345*100/M345,0)</f>
        <v>70.295826016479808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6">L349+L352</f>
        <v>0</v>
      </c>
      <c r="M346" s="90">
        <f t="shared" si="156"/>
        <v>0</v>
      </c>
      <c r="N346" s="90">
        <f t="shared" si="156"/>
        <v>0</v>
      </c>
      <c r="O346" s="90">
        <f t="shared" si="154"/>
        <v>0</v>
      </c>
      <c r="P346" s="90">
        <f t="shared" si="155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6"/>
        <v>96770</v>
      </c>
      <c r="M347" s="90">
        <f t="shared" ca="1" si="156"/>
        <v>74030</v>
      </c>
      <c r="N347" s="90">
        <f t="shared" ca="1" si="156"/>
        <v>52040</v>
      </c>
      <c r="O347" s="90">
        <f t="shared" ca="1" si="154"/>
        <v>53.776997003203469</v>
      </c>
      <c r="P347" s="90">
        <f t="shared" ca="1" si="155"/>
        <v>70.295826016479808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7">L349+L350</f>
        <v>43970</v>
      </c>
      <c r="M348" s="495">
        <f t="shared" ca="1" si="157"/>
        <v>21990</v>
      </c>
      <c r="N348" s="495">
        <f t="shared" ca="1" si="157"/>
        <v>0</v>
      </c>
      <c r="O348" s="495">
        <f t="shared" ca="1" si="154"/>
        <v>0</v>
      </c>
      <c r="P348" s="495">
        <f t="shared" ca="1" si="155"/>
        <v>0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4"/>
        <v>0</v>
      </c>
      <c r="P349" s="90">
        <f t="shared" si="155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IFERROR(__xludf.DUMMYFUNCTION("IMPORTRANGE(""https://docs.google.com/spreadsheets/d/1MeEWN-I1oV_STSDYn1IFDPWt_1FKiwhDph83XaGc0o0/edit?usp=sharing"",""งบพรบ!EW71"")"),43970)</f>
        <v>43970</v>
      </c>
      <c r="M350" s="90">
        <f ca="1">IFERROR(__xludf.DUMMYFUNCTION("IMPORTRANGE(""https://docs.google.com/spreadsheets/d/1MeEWN-I1oV_STSDYn1IFDPWt_1FKiwhDph83XaGc0o0/edit?usp=sharing"",""งบพรบ!FB71"")"),21990)</f>
        <v>21990</v>
      </c>
      <c r="N350" s="90">
        <f ca="1">IFERROR(__xludf.DUMMYFUNCTION("IMPORTRANGE(""https://docs.google.com/spreadsheets/d/1MeEWN-I1oV_STSDYn1IFDPWt_1FKiwhDph83XaGc0o0/edit?usp=sharing"",""งบพรบ!FD71"")"),0)</f>
        <v>0</v>
      </c>
      <c r="O350" s="90">
        <f t="shared" ca="1" si="154"/>
        <v>0</v>
      </c>
      <c r="P350" s="90">
        <f t="shared" ca="1" si="155"/>
        <v>0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8">L352+L353</f>
        <v>52800</v>
      </c>
      <c r="M351" s="495">
        <f t="shared" ca="1" si="158"/>
        <v>52040</v>
      </c>
      <c r="N351" s="495">
        <f t="shared" ca="1" si="158"/>
        <v>52040</v>
      </c>
      <c r="O351" s="495">
        <f t="shared" ca="1" si="154"/>
        <v>98.560606060606062</v>
      </c>
      <c r="P351" s="495">
        <f t="shared" ca="1" si="155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4"/>
        <v>0</v>
      </c>
      <c r="P352" s="90">
        <f t="shared" si="155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IFERROR(__xludf.DUMMYFUNCTION("IMPORTRANGE(""https://docs.google.com/spreadsheets/d/1MeEWN-I1oV_STSDYn1IFDPWt_1FKiwhDph83XaGc0o0/edit?usp=sharing"",""งบพรบ!EZ71"")"),52800)</f>
        <v>52800</v>
      </c>
      <c r="M353" s="90">
        <f ca="1">IFERROR(__xludf.DUMMYFUNCTION("IMPORTRANGE(""https://docs.google.com/spreadsheets/d/1MeEWN-I1oV_STSDYn1IFDPWt_1FKiwhDph83XaGc0o0/edit?usp=sharing"",""งบพรบ!FC71"")"),52040)</f>
        <v>52040</v>
      </c>
      <c r="N353" s="90">
        <f ca="1">IFERROR(__xludf.DUMMYFUNCTION("IMPORTRANGE(""https://docs.google.com/spreadsheets/d/1MeEWN-I1oV_STSDYn1IFDPWt_1FKiwhDph83XaGc0o0/edit?usp=sharing"",""งบพรบ!FE71"")"),52040)</f>
        <v>52040</v>
      </c>
      <c r="O353" s="90">
        <f t="shared" ca="1" si="154"/>
        <v>98.560606060606062</v>
      </c>
      <c r="P353" s="90">
        <f t="shared" ca="1" si="155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 hidden="1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IFERROR(__xludf.DUMMYFUNCTION("IMPORTRANGE(""https://docs.google.com/spreadsheets/d/1QqKyyYR6Q21VydFLVH3TRQUabQu_ym0Zz7PgGX0-kHA/edit?usp=sharing"",""แผน!EP71"")"),0)</f>
        <v>0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 hidden="1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 hidden="1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 hidden="1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IFERROR(__xludf.DUMMYFUNCTION("IMPORTRANGE(""https://docs.google.com/spreadsheets/d/1XWAQStnk-4SwqDmLtmXYiTMKHgktTP8We1SCoS47DrQ/edit?usp=sharing"",""จัดที่ดิน!W71"")"),0)</f>
        <v>0</v>
      </c>
      <c r="K358" s="495">
        <f t="shared" ref="K358:K365" si="159">IF(I358&gt;0,J358*100/I358,0)</f>
        <v>0</v>
      </c>
      <c r="L358" s="159"/>
      <c r="M358" s="159"/>
      <c r="N358" s="159"/>
      <c r="O358" s="159"/>
      <c r="P358" s="159"/>
    </row>
    <row r="359" spans="1:26" ht="18.75" hidden="1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IFERROR(__xludf.DUMMYFUNCTION("IMPORTRANGE(""https://docs.google.com/spreadsheets/d/1QqKyyYR6Q21VydFLVH3TRQUabQu_ym0Zz7PgGX0-kHA/edit?usp=sharing"",""แผน!EO71"")"),0)</f>
        <v>0</v>
      </c>
      <c r="J359" s="264">
        <f ca="1">IFERROR(__xludf.DUMMYFUNCTION("IMPORTRANGE(""https://docs.google.com/spreadsheets/d/1XWAQStnk-4SwqDmLtmXYiTMKHgktTP8We1SCoS47DrQ/edit?usp=sharing"",""จัดที่ดิน!X71"")"),0)</f>
        <v>0</v>
      </c>
      <c r="K359" s="495">
        <f t="shared" ca="1" si="159"/>
        <v>0</v>
      </c>
      <c r="L359" s="159"/>
      <c r="M359" s="159"/>
      <c r="N359" s="159"/>
      <c r="O359" s="159"/>
      <c r="P359" s="159"/>
    </row>
    <row r="360" spans="1:26" ht="18.75" hidden="1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IFERROR(__xludf.DUMMYFUNCTION("IMPORTRANGE(""https://docs.google.com/spreadsheets/d/1QqKyyYR6Q21VydFLVH3TRQUabQu_ym0Zz7PgGX0-kHA/edit?usp=sharing"",""แผน!EP71"")"),0)</f>
        <v>0</v>
      </c>
      <c r="J360" s="264">
        <f ca="1">IFERROR(__xludf.DUMMYFUNCTION("IMPORTRANGE(""https://docs.google.com/spreadsheets/d/1XWAQStnk-4SwqDmLtmXYiTMKHgktTP8We1SCoS47DrQ/edit?usp=sharing"",""จัดที่ดิน!Y71"")"),0)</f>
        <v>0</v>
      </c>
      <c r="K360" s="495">
        <f t="shared" ca="1" si="159"/>
        <v>0</v>
      </c>
      <c r="L360" s="159"/>
      <c r="M360" s="159"/>
      <c r="N360" s="159"/>
      <c r="O360" s="159"/>
      <c r="P360" s="159"/>
    </row>
    <row r="361" spans="1:26" ht="18.75" hidden="1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IFERROR(__xludf.DUMMYFUNCTION("IMPORTRANGE(""https://docs.google.com/spreadsheets/d/1XWAQStnk-4SwqDmLtmXYiTMKHgktTP8We1SCoS47DrQ/edit?usp=sharing"",""จัดที่ดิน!Z71"")"),0)</f>
        <v>0</v>
      </c>
      <c r="K361" s="495">
        <f t="shared" si="159"/>
        <v>0</v>
      </c>
      <c r="L361" s="159"/>
      <c r="M361" s="159"/>
      <c r="N361" s="159"/>
      <c r="O361" s="159"/>
      <c r="P361" s="159"/>
    </row>
    <row r="362" spans="1:26" ht="18.75" hidden="1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IFERROR(__xludf.DUMMYFUNCTION("IMPORTRANGE(""https://docs.google.com/spreadsheets/d/1QqKyyYR6Q21VydFLVH3TRQUabQu_ym0Zz7PgGX0-kHA/edit?usp=sharing"",""แผน!EP71"")"),0)</f>
        <v>0</v>
      </c>
      <c r="J362" s="264">
        <f ca="1">IFERROR(__xludf.DUMMYFUNCTION("IMPORTRANGE(""https://docs.google.com/spreadsheets/d/1XWAQStnk-4SwqDmLtmXYiTMKHgktTP8We1SCoS47DrQ/edit?usp=sharing"",""จัดที่ดิน!AA71"")"),0)</f>
        <v>0</v>
      </c>
      <c r="K362" s="495">
        <f t="shared" ca="1" si="159"/>
        <v>0</v>
      </c>
      <c r="L362" s="159"/>
      <c r="M362" s="159"/>
      <c r="N362" s="159"/>
      <c r="O362" s="159"/>
      <c r="P362" s="159"/>
    </row>
    <row r="363" spans="1:26" ht="18.75" hidden="1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IFERROR(__xludf.DUMMYFUNCTION("IMPORTRANGE(""https://docs.google.com/spreadsheets/d/1XWAQStnk-4SwqDmLtmXYiTMKHgktTP8We1SCoS47DrQ/edit?usp=sharing"",""จัดที่ดิน!AB71"")"),0)</f>
        <v>0</v>
      </c>
      <c r="K363" s="495">
        <f t="shared" si="159"/>
        <v>0</v>
      </c>
      <c r="L363" s="159"/>
      <c r="M363" s="159"/>
      <c r="N363" s="159"/>
      <c r="O363" s="159"/>
      <c r="P363" s="159"/>
    </row>
    <row r="364" spans="1:26" ht="19.5" hidden="1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0">I365+I374</f>
        <v>0</v>
      </c>
      <c r="J364" s="476">
        <f t="shared" ca="1" si="160"/>
        <v>0</v>
      </c>
      <c r="K364" s="477">
        <f t="shared" ca="1" si="159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 hidden="1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IFERROR(__xludf.DUMMYFUNCTION("IMPORTRANGE(""https://docs.google.com/spreadsheets/d/1QqKyyYR6Q21VydFLVH3TRQUabQu_ym0Zz7PgGX0-kHA/edit?usp=sharing"",""แผน!EJ71"")"),0)</f>
        <v>0</v>
      </c>
      <c r="J365" s="488">
        <f ca="1">J372</f>
        <v>0</v>
      </c>
      <c r="K365" s="489">
        <f t="shared" ca="1" si="159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 hidden="1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 hidden="1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 hidden="1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IFERROR(__xludf.DUMMYFUNCTION("IMPORTRANGE(""https://docs.google.com/spreadsheets/d/1XWAQStnk-4SwqDmLtmXYiTMKHgktTP8We1SCoS47DrQ/edit?usp=sharing"",""จัดที่ดิน!E71"")"),0)</f>
        <v>0</v>
      </c>
      <c r="K368" s="495">
        <f t="shared" ref="K368:K374" si="161">IF(I368&gt;0,J368*100/I368,0)</f>
        <v>0</v>
      </c>
      <c r="L368" s="159"/>
      <c r="M368" s="159"/>
      <c r="N368" s="159"/>
      <c r="O368" s="159"/>
      <c r="P368" s="159"/>
    </row>
    <row r="369" spans="1:26" ht="18.75" hidden="1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IFERROR(__xludf.DUMMYFUNCTION("IMPORTRANGE(""https://docs.google.com/spreadsheets/d/1QqKyyYR6Q21VydFLVH3TRQUabQu_ym0Zz7PgGX0-kHA/edit?usp=sharing"",""แผน!EI71"")"),0)</f>
        <v>0</v>
      </c>
      <c r="J369" s="264">
        <f ca="1">IFERROR(__xludf.DUMMYFUNCTION("IMPORTRANGE(""https://docs.google.com/spreadsheets/d/1XWAQStnk-4SwqDmLtmXYiTMKHgktTP8We1SCoS47DrQ/edit?usp=sharing"",""จัดที่ดิน!F71"")"),0)</f>
        <v>0</v>
      </c>
      <c r="K369" s="495">
        <f t="shared" ca="1" si="161"/>
        <v>0</v>
      </c>
      <c r="L369" s="159"/>
      <c r="M369" s="159"/>
      <c r="N369" s="159"/>
      <c r="O369" s="159"/>
      <c r="P369" s="159"/>
    </row>
    <row r="370" spans="1:26" ht="18.75" hidden="1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IFERROR(__xludf.DUMMYFUNCTION("IMPORTRANGE(""https://docs.google.com/spreadsheets/d/1QqKyyYR6Q21VydFLVH3TRQUabQu_ym0Zz7PgGX0-kHA/edit?usp=sharing"",""แผน!EJ71"")"),0)</f>
        <v>0</v>
      </c>
      <c r="J370" s="264">
        <f ca="1">IFERROR(__xludf.DUMMYFUNCTION("IMPORTRANGE(""https://docs.google.com/spreadsheets/d/1XWAQStnk-4SwqDmLtmXYiTMKHgktTP8We1SCoS47DrQ/edit?usp=sharing"",""จัดที่ดิน!G71"")"),0)</f>
        <v>0</v>
      </c>
      <c r="K370" s="495">
        <f t="shared" ca="1" si="161"/>
        <v>0</v>
      </c>
      <c r="L370" s="159"/>
      <c r="M370" s="159"/>
      <c r="N370" s="159"/>
      <c r="O370" s="159"/>
      <c r="P370" s="159"/>
    </row>
    <row r="371" spans="1:26" ht="18.75" hidden="1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IFERROR(__xludf.DUMMYFUNCTION("IMPORTRANGE(""https://docs.google.com/spreadsheets/d/1XWAQStnk-4SwqDmLtmXYiTMKHgktTP8We1SCoS47DrQ/edit?usp=sharing"",""จัดที่ดิน!H71"")"),0)</f>
        <v>0</v>
      </c>
      <c r="K371" s="495">
        <f t="shared" si="161"/>
        <v>0</v>
      </c>
      <c r="L371" s="159"/>
      <c r="M371" s="159"/>
      <c r="N371" s="159"/>
      <c r="O371" s="159"/>
      <c r="P371" s="159"/>
    </row>
    <row r="372" spans="1:26" ht="18.75" hidden="1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IFERROR(__xludf.DUMMYFUNCTION("IMPORTRANGE(""https://docs.google.com/spreadsheets/d/1QqKyyYR6Q21VydFLVH3TRQUabQu_ym0Zz7PgGX0-kHA/edit?usp=sharing"",""แผน!EJ71"")"),0)</f>
        <v>0</v>
      </c>
      <c r="J372" s="264">
        <f ca="1">IFERROR(__xludf.DUMMYFUNCTION("IMPORTRANGE(""https://docs.google.com/spreadsheets/d/1XWAQStnk-4SwqDmLtmXYiTMKHgktTP8We1SCoS47DrQ/edit?usp=sharing"",""จัดที่ดิน!I71"")"),0)</f>
        <v>0</v>
      </c>
      <c r="K372" s="495">
        <f t="shared" ca="1" si="161"/>
        <v>0</v>
      </c>
      <c r="L372" s="159"/>
      <c r="M372" s="159"/>
      <c r="N372" s="159"/>
      <c r="O372" s="159"/>
      <c r="P372" s="159"/>
    </row>
    <row r="373" spans="1:26" ht="18.75" hidden="1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IFERROR(__xludf.DUMMYFUNCTION("IMPORTRANGE(""https://docs.google.com/spreadsheets/d/1XWAQStnk-4SwqDmLtmXYiTMKHgktTP8We1SCoS47DrQ/edit?usp=sharing"",""จัดที่ดิน!J71"")"),0)</f>
        <v>0</v>
      </c>
      <c r="K373" s="495">
        <f t="shared" si="161"/>
        <v>0</v>
      </c>
      <c r="L373" s="159"/>
      <c r="M373" s="159"/>
      <c r="N373" s="159"/>
      <c r="O373" s="159"/>
      <c r="P373" s="159"/>
    </row>
    <row r="374" spans="1:26" ht="19.5" hidden="1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IFERROR(__xludf.DUMMYFUNCTION("IMPORTRANGE(""https://docs.google.com/spreadsheets/d/1QqKyyYR6Q21VydFLVH3TRQUabQu_ym0Zz7PgGX0-kHA/edit?usp=sharing"",""แผน!EU71"")"),0)</f>
        <v>0</v>
      </c>
      <c r="J374" s="488">
        <f ca="1">J381</f>
        <v>0</v>
      </c>
      <c r="K374" s="489">
        <f t="shared" ca="1" si="161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 hidden="1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 hidden="1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 hidden="1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IFERROR(__xludf.DUMMYFUNCTION("IMPORTRANGE(""https://docs.google.com/spreadsheets/d/1XWAQStnk-4SwqDmLtmXYiTMKHgktTP8We1SCoS47DrQ/edit?usp=sharing"",""จัดที่ดิน!AH71"")"),0)</f>
        <v>0</v>
      </c>
      <c r="K377" s="495">
        <f t="shared" ref="K377:K382" si="162">IF(I377&gt;0,J377*100/I377,0)</f>
        <v>0</v>
      </c>
      <c r="L377" s="159"/>
      <c r="M377" s="159"/>
      <c r="N377" s="159"/>
      <c r="O377" s="159"/>
      <c r="P377" s="159"/>
    </row>
    <row r="378" spans="1:26" ht="18.75" hidden="1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IFERROR(__xludf.DUMMYFUNCTION("IMPORTRANGE(""https://docs.google.com/spreadsheets/d/1QqKyyYR6Q21VydFLVH3TRQUabQu_ym0Zz7PgGX0-kHA/edit?usp=sharing"",""แผน!ET71"")"),0)</f>
        <v>0</v>
      </c>
      <c r="J378" s="264">
        <f ca="1">IFERROR(__xludf.DUMMYFUNCTION("IMPORTRANGE(""https://docs.google.com/spreadsheets/d/1XWAQStnk-4SwqDmLtmXYiTMKHgktTP8We1SCoS47DrQ/edit?usp=sharing"",""จัดที่ดิน!AI71"")"),0)</f>
        <v>0</v>
      </c>
      <c r="K378" s="495">
        <f t="shared" ca="1" si="162"/>
        <v>0</v>
      </c>
      <c r="L378" s="159"/>
      <c r="M378" s="159"/>
      <c r="N378" s="159"/>
      <c r="O378" s="159"/>
      <c r="P378" s="159"/>
    </row>
    <row r="379" spans="1:26" ht="18.75" hidden="1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IFERROR(__xludf.DUMMYFUNCTION("IMPORTRANGE(""https://docs.google.com/spreadsheets/d/1QqKyyYR6Q21VydFLVH3TRQUabQu_ym0Zz7PgGX0-kHA/edit?usp=sharing"",""แผน!EU71"")"),0)</f>
        <v>0</v>
      </c>
      <c r="J379" s="264">
        <f ca="1">IFERROR(__xludf.DUMMYFUNCTION("IMPORTRANGE(""https://docs.google.com/spreadsheets/d/1XWAQStnk-4SwqDmLtmXYiTMKHgktTP8We1SCoS47DrQ/edit?usp=sharing"",""จัดที่ดิน!AJ71"")"),0)</f>
        <v>0</v>
      </c>
      <c r="K379" s="495">
        <f t="shared" ca="1" si="162"/>
        <v>0</v>
      </c>
      <c r="L379" s="159"/>
      <c r="M379" s="159"/>
      <c r="N379" s="159"/>
      <c r="O379" s="159"/>
      <c r="P379" s="159"/>
    </row>
    <row r="380" spans="1:26" ht="18.75" hidden="1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IFERROR(__xludf.DUMMYFUNCTION("IMPORTRANGE(""https://docs.google.com/spreadsheets/d/1XWAQStnk-4SwqDmLtmXYiTMKHgktTP8We1SCoS47DrQ/edit?usp=sharing"",""จัดที่ดิน!AK71"")"),0)</f>
        <v>0</v>
      </c>
      <c r="K380" s="495">
        <f t="shared" si="162"/>
        <v>0</v>
      </c>
      <c r="L380" s="159"/>
      <c r="M380" s="159"/>
      <c r="N380" s="159"/>
      <c r="O380" s="159"/>
      <c r="P380" s="159"/>
    </row>
    <row r="381" spans="1:26" ht="18.75" hidden="1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IFERROR(__xludf.DUMMYFUNCTION("IMPORTRANGE(""https://docs.google.com/spreadsheets/d/1QqKyyYR6Q21VydFLVH3TRQUabQu_ym0Zz7PgGX0-kHA/edit?usp=sharing"",""แผน!EU71"")"),0)</f>
        <v>0</v>
      </c>
      <c r="J381" s="264">
        <f ca="1">IFERROR(__xludf.DUMMYFUNCTION("IMPORTRANGE(""https://docs.google.com/spreadsheets/d/1XWAQStnk-4SwqDmLtmXYiTMKHgktTP8We1SCoS47DrQ/edit?usp=sharing"",""จัดที่ดิน!AL71"")"),0)</f>
        <v>0</v>
      </c>
      <c r="K381" s="495">
        <f t="shared" ca="1" si="162"/>
        <v>0</v>
      </c>
      <c r="L381" s="159"/>
      <c r="M381" s="159"/>
      <c r="N381" s="159"/>
      <c r="O381" s="159"/>
      <c r="P381" s="159"/>
    </row>
    <row r="382" spans="1:26" ht="18.75" hidden="1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IFERROR(__xludf.DUMMYFUNCTION("IMPORTRANGE(""https://docs.google.com/spreadsheets/d/1XWAQStnk-4SwqDmLtmXYiTMKHgktTP8We1SCoS47DrQ/edit?usp=sharing"",""จัดที่ดิน!AM71"")"),0)</f>
        <v>0</v>
      </c>
      <c r="K382" s="495">
        <f t="shared" si="162"/>
        <v>0</v>
      </c>
      <c r="L382" s="159"/>
      <c r="M382" s="159"/>
      <c r="N382" s="159"/>
      <c r="O382" s="159"/>
      <c r="P382" s="159"/>
    </row>
    <row r="383" spans="1:26" ht="19.5" hidden="1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 hidden="1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 hidden="1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IFERROR(__xludf.DUMMYFUNCTION("IMPORTRANGE(""https://docs.google.com/spreadsheets/d/1QqKyyYR6Q21VydFLVH3TRQUabQu_ym0Zz7PgGX0-kHA/edit?usp=sharing"",""แผน!EW71"")"),0)</f>
        <v>0</v>
      </c>
      <c r="J385" s="498">
        <f ca="1">IFERROR(__xludf.DUMMYFUNCTION("IMPORTRANGE(""https://docs.google.com/spreadsheets/d/1XWAQStnk-4SwqDmLtmXYiTMKHgktTP8We1SCoS47DrQ/edit?usp=sharing"",""จัดที่ดิน!AP71"")"),0)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3">I400</f>
        <v>0</v>
      </c>
      <c r="J388" s="519">
        <f t="shared" si="163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4">L390+L391</f>
        <v>0</v>
      </c>
      <c r="M389" s="151">
        <f t="shared" ca="1" si="164"/>
        <v>0</v>
      </c>
      <c r="N389" s="151">
        <f t="shared" ca="1" si="164"/>
        <v>0</v>
      </c>
      <c r="O389" s="151">
        <f t="shared" ref="O389:O397" ca="1" si="165">IF(L389&gt;0,N389*100/L389,0)</f>
        <v>0</v>
      </c>
      <c r="P389" s="151">
        <f t="shared" ref="P389:P397" ca="1" si="1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7">L393+L396</f>
        <v>0</v>
      </c>
      <c r="M390" s="90">
        <f t="shared" si="167"/>
        <v>0</v>
      </c>
      <c r="N390" s="90">
        <f t="shared" si="167"/>
        <v>0</v>
      </c>
      <c r="O390" s="90">
        <f t="shared" si="165"/>
        <v>0</v>
      </c>
      <c r="P390" s="90">
        <f t="shared" si="1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7"/>
        <v>0</v>
      </c>
      <c r="M391" s="90">
        <f t="shared" ca="1" si="167"/>
        <v>0</v>
      </c>
      <c r="N391" s="90">
        <f t="shared" ca="1" si="167"/>
        <v>0</v>
      </c>
      <c r="O391" s="90">
        <f t="shared" ca="1" si="165"/>
        <v>0</v>
      </c>
      <c r="P391" s="90">
        <f t="shared" ca="1" si="1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8">L393+L394</f>
        <v>0</v>
      </c>
      <c r="M392" s="495">
        <f t="shared" ca="1" si="168"/>
        <v>0</v>
      </c>
      <c r="N392" s="495">
        <f t="shared" ca="1" si="168"/>
        <v>0</v>
      </c>
      <c r="O392" s="495">
        <f t="shared" ca="1" si="165"/>
        <v>0</v>
      </c>
      <c r="P392" s="495">
        <f t="shared" ca="1" si="1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5"/>
        <v>0</v>
      </c>
      <c r="P393" s="90">
        <f t="shared" si="1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IFERROR(__xludf.DUMMYFUNCTION("IMPORTRANGE(""https://docs.google.com/spreadsheets/d/1MeEWN-I1oV_STSDYn1IFDPWt_1FKiwhDph83XaGc0o0/edit?usp=sharing"",""งบพรบ!FG71"")"),0)</f>
        <v>0</v>
      </c>
      <c r="M394" s="90">
        <f ca="1">IFERROR(__xludf.DUMMYFUNCTION("IMPORTRANGE(""https://docs.google.com/spreadsheets/d/1MeEWN-I1oV_STSDYn1IFDPWt_1FKiwhDph83XaGc0o0/edit?usp=sharing"",""งบพรบ!FL71"")"),0)</f>
        <v>0</v>
      </c>
      <c r="N394" s="90">
        <f ca="1">IFERROR(__xludf.DUMMYFUNCTION("IMPORTRANGE(""https://docs.google.com/spreadsheets/d/1MeEWN-I1oV_STSDYn1IFDPWt_1FKiwhDph83XaGc0o0/edit?usp=sharing"",""งบพรบ!FN71"")"),0)</f>
        <v>0</v>
      </c>
      <c r="O394" s="90">
        <f t="shared" ca="1" si="165"/>
        <v>0</v>
      </c>
      <c r="P394" s="90">
        <f t="shared" ca="1" si="1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69">L396+L397</f>
        <v>0</v>
      </c>
      <c r="M395" s="495">
        <f t="shared" ca="1" si="169"/>
        <v>0</v>
      </c>
      <c r="N395" s="495">
        <f t="shared" ca="1" si="169"/>
        <v>0</v>
      </c>
      <c r="O395" s="495">
        <f t="shared" ca="1" si="165"/>
        <v>0</v>
      </c>
      <c r="P395" s="495">
        <f t="shared" ca="1" si="1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5"/>
        <v>0</v>
      </c>
      <c r="P396" s="90">
        <f t="shared" si="1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IFERROR(__xludf.DUMMYFUNCTION("IMPORTRANGE(""https://docs.google.com/spreadsheets/d/1MeEWN-I1oV_STSDYn1IFDPWt_1FKiwhDph83XaGc0o0/edit?usp=sharing"",""งบพรบ!FJ71"")"),0)</f>
        <v>0</v>
      </c>
      <c r="M397" s="90">
        <f ca="1">IFERROR(__xludf.DUMMYFUNCTION("IMPORTRANGE(""https://docs.google.com/spreadsheets/d/1MeEWN-I1oV_STSDYn1IFDPWt_1FKiwhDph83XaGc0o0/edit?usp=sharing"",""งบพรบ!FM71"")"),0)</f>
        <v>0</v>
      </c>
      <c r="N397" s="90">
        <f ca="1">IFERROR(__xludf.DUMMYFUNCTION("IMPORTRANGE(""https://docs.google.com/spreadsheets/d/1MeEWN-I1oV_STSDYn1IFDPWt_1FKiwhDph83XaGc0o0/edit?usp=sharing"",""งบพรบ!FO71"")"),0)</f>
        <v>0</v>
      </c>
      <c r="O397" s="90">
        <f t="shared" ca="1" si="165"/>
        <v>0</v>
      </c>
      <c r="P397" s="90">
        <f t="shared" ca="1" si="1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0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0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1">I412</f>
        <v>0</v>
      </c>
      <c r="J401" s="519">
        <f t="shared" si="171"/>
        <v>0</v>
      </c>
      <c r="K401" s="520">
        <f t="shared" si="170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2">L403+L404</f>
        <v>0</v>
      </c>
      <c r="M402" s="151">
        <f t="shared" ca="1" si="172"/>
        <v>0</v>
      </c>
      <c r="N402" s="151">
        <f t="shared" ca="1" si="172"/>
        <v>0</v>
      </c>
      <c r="O402" s="151">
        <f t="shared" ref="O402:O410" ca="1" si="173">IF(L402&gt;0,N402*100/L402,0)</f>
        <v>0</v>
      </c>
      <c r="P402" s="151">
        <f t="shared" ref="P402:P410" ca="1" si="174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5">L406+L409</f>
        <v>0</v>
      </c>
      <c r="M403" s="90">
        <f t="shared" si="175"/>
        <v>0</v>
      </c>
      <c r="N403" s="90">
        <f t="shared" si="175"/>
        <v>0</v>
      </c>
      <c r="O403" s="90">
        <f t="shared" si="173"/>
        <v>0</v>
      </c>
      <c r="P403" s="90">
        <f t="shared" si="174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5"/>
        <v>0</v>
      </c>
      <c r="M404" s="90">
        <f t="shared" ca="1" si="175"/>
        <v>0</v>
      </c>
      <c r="N404" s="90">
        <f t="shared" ca="1" si="175"/>
        <v>0</v>
      </c>
      <c r="O404" s="90">
        <f t="shared" ca="1" si="173"/>
        <v>0</v>
      </c>
      <c r="P404" s="90">
        <f t="shared" ca="1" si="174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6">L406+L407</f>
        <v>0</v>
      </c>
      <c r="M405" s="495">
        <f t="shared" ca="1" si="176"/>
        <v>0</v>
      </c>
      <c r="N405" s="495">
        <f t="shared" ca="1" si="176"/>
        <v>0</v>
      </c>
      <c r="O405" s="495">
        <f t="shared" ca="1" si="173"/>
        <v>0</v>
      </c>
      <c r="P405" s="495">
        <f t="shared" ca="1" si="174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3"/>
        <v>0</v>
      </c>
      <c r="P406" s="90">
        <f t="shared" si="174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IFERROR(__xludf.DUMMYFUNCTION("IMPORTRANGE(""https://docs.google.com/spreadsheets/d/1MeEWN-I1oV_STSDYn1IFDPWt_1FKiwhDph83XaGc0o0/edit?usp=sharing"",""งบพรบ!FQ71"")"),0)</f>
        <v>0</v>
      </c>
      <c r="M407" s="90">
        <f ca="1">IFERROR(__xludf.DUMMYFUNCTION("IMPORTRANGE(""https://docs.google.com/spreadsheets/d/1MeEWN-I1oV_STSDYn1IFDPWt_1FKiwhDph83XaGc0o0/edit?usp=sharing"",""งบพรบ!FV71"")"),0)</f>
        <v>0</v>
      </c>
      <c r="N407" s="90">
        <f ca="1">IFERROR(__xludf.DUMMYFUNCTION("IMPORTRANGE(""https://docs.google.com/spreadsheets/d/1MeEWN-I1oV_STSDYn1IFDPWt_1FKiwhDph83XaGc0o0/edit?usp=sharing"",""งบพรบ!FX71"")"),0)</f>
        <v>0</v>
      </c>
      <c r="O407" s="90">
        <f t="shared" ca="1" si="173"/>
        <v>0</v>
      </c>
      <c r="P407" s="90">
        <f t="shared" ca="1" si="174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7">L409+L410</f>
        <v>0</v>
      </c>
      <c r="M408" s="495">
        <f t="shared" ca="1" si="177"/>
        <v>0</v>
      </c>
      <c r="N408" s="495">
        <f t="shared" ca="1" si="177"/>
        <v>0</v>
      </c>
      <c r="O408" s="495">
        <f t="shared" ca="1" si="173"/>
        <v>0</v>
      </c>
      <c r="P408" s="495">
        <f t="shared" ca="1" si="174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3"/>
        <v>0</v>
      </c>
      <c r="P409" s="90">
        <f t="shared" si="174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IFERROR(__xludf.DUMMYFUNCTION("IMPORTRANGE(""https://docs.google.com/spreadsheets/d/1MeEWN-I1oV_STSDYn1IFDPWt_1FKiwhDph83XaGc0o0/edit?usp=sharing"",""งบพรบ!FT71"")"),0)</f>
        <v>0</v>
      </c>
      <c r="M410" s="90">
        <f ca="1">IFERROR(__xludf.DUMMYFUNCTION("IMPORTRANGE(""https://docs.google.com/spreadsheets/d/1MeEWN-I1oV_STSDYn1IFDPWt_1FKiwhDph83XaGc0o0/edit?usp=sharing"",""งบพรบ!FW71"")"),0)</f>
        <v>0</v>
      </c>
      <c r="N410" s="90">
        <f ca="1">IFERROR(__xludf.DUMMYFUNCTION("IMPORTRANGE(""https://docs.google.com/spreadsheets/d/1MeEWN-I1oV_STSDYn1IFDPWt_1FKiwhDph83XaGc0o0/edit?usp=sharing"",""งบพรบ!FY71"")"),0)</f>
        <v>0</v>
      </c>
      <c r="O410" s="90">
        <f t="shared" ca="1" si="173"/>
        <v>0</v>
      </c>
      <c r="P410" s="90">
        <f t="shared" ca="1" si="174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8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8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79">L419+L444+L467+L502+L523+L544+L629+L655+L685+L737+L754+L770+L786+L805</f>
        <v>134200</v>
      </c>
      <c r="M414" s="546">
        <f t="shared" si="179"/>
        <v>0</v>
      </c>
      <c r="N414" s="546">
        <f t="shared" si="179"/>
        <v>6400</v>
      </c>
      <c r="O414" s="546">
        <f ca="1">IF(L414&gt;0,N414*100/L414,0)</f>
        <v>4.7690014903129656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0">I433</f>
        <v>10</v>
      </c>
      <c r="J417" s="562">
        <f t="shared" ca="1" si="180"/>
        <v>0</v>
      </c>
      <c r="K417" s="563">
        <f t="shared" ref="K417:K418" ca="1" si="181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0"/>
        <v>1</v>
      </c>
      <c r="J418" s="562">
        <f t="shared" si="180"/>
        <v>0</v>
      </c>
      <c r="K418" s="563">
        <f t="shared" ca="1" si="181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2">L420+L421</f>
        <v>54560</v>
      </c>
      <c r="M419" s="151">
        <f t="shared" si="182"/>
        <v>0</v>
      </c>
      <c r="N419" s="151">
        <f t="shared" si="182"/>
        <v>0</v>
      </c>
      <c r="O419" s="151">
        <f t="shared" ref="O419:O424" ca="1" si="183">IF(L419&gt;0,N419*100/L419,0)</f>
        <v>0</v>
      </c>
      <c r="P419" s="151">
        <f t="shared" ref="P419:P424" si="184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5">L423+L430</f>
        <v>0</v>
      </c>
      <c r="M420" s="90">
        <f t="shared" si="185"/>
        <v>0</v>
      </c>
      <c r="N420" s="90">
        <f t="shared" si="185"/>
        <v>0</v>
      </c>
      <c r="O420" s="90">
        <f t="shared" si="183"/>
        <v>0</v>
      </c>
      <c r="P420" s="90">
        <f t="shared" si="184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5"/>
        <v>54560</v>
      </c>
      <c r="M421" s="90">
        <f t="shared" si="185"/>
        <v>0</v>
      </c>
      <c r="N421" s="90">
        <f t="shared" si="185"/>
        <v>0</v>
      </c>
      <c r="O421" s="90">
        <f t="shared" ca="1" si="183"/>
        <v>0</v>
      </c>
      <c r="P421" s="90">
        <f t="shared" si="184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6">L423+L424</f>
        <v>54560</v>
      </c>
      <c r="M422" s="495">
        <f t="shared" si="186"/>
        <v>0</v>
      </c>
      <c r="N422" s="495">
        <f t="shared" si="186"/>
        <v>0</v>
      </c>
      <c r="O422" s="495">
        <f t="shared" ca="1" si="183"/>
        <v>0</v>
      </c>
      <c r="P422" s="495">
        <f t="shared" si="184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3"/>
        <v>0</v>
      </c>
      <c r="P423" s="90">
        <f t="shared" si="184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IFERROR(__xludf.DUMMYFUNCTION("IMPORTRANGE(""https://docs.google.com/spreadsheets/d/1QqKyyYR6Q21VydFLVH3TRQUabQu_ym0Zz7PgGX0-kHA/edit?usp=sharing"",""แผน!EY71"")"),54560)</f>
        <v>54560</v>
      </c>
      <c r="M424" s="90">
        <v>0</v>
      </c>
      <c r="N424" s="90">
        <f>N425+N426+N427+N428</f>
        <v>0</v>
      </c>
      <c r="O424" s="90">
        <f t="shared" ca="1" si="183"/>
        <v>0</v>
      </c>
      <c r="P424" s="90">
        <f t="shared" si="184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7">L430+L431</f>
        <v>0</v>
      </c>
      <c r="M429" s="495">
        <f t="shared" si="187"/>
        <v>0</v>
      </c>
      <c r="N429" s="495">
        <f t="shared" si="187"/>
        <v>0</v>
      </c>
      <c r="O429" s="495">
        <f t="shared" ref="O429:O431" ca="1" si="188">IF(L429&gt;0,N429*100/L429,0)</f>
        <v>0</v>
      </c>
      <c r="P429" s="495">
        <f t="shared" ref="P429:P431" si="189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8"/>
        <v>0</v>
      </c>
      <c r="P430" s="90">
        <f t="shared" si="189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IFERROR(__xludf.DUMMYFUNCTION("IMPORTRANGE(""https://docs.google.com/spreadsheets/d/1QqKyyYR6Q21VydFLVH3TRQUabQu_ym0Zz7PgGX0-kHA/edit?usp=sharing"",""แผน!FB71"")"),0)</f>
        <v>0</v>
      </c>
      <c r="M431" s="90">
        <v>0</v>
      </c>
      <c r="N431" s="90">
        <v>0</v>
      </c>
      <c r="O431" s="90">
        <f t="shared" ca="1" si="188"/>
        <v>0</v>
      </c>
      <c r="P431" s="90">
        <f t="shared" si="189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10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0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1">I438+I440</f>
        <v>1</v>
      </c>
      <c r="J434" s="673">
        <f t="shared" si="191"/>
        <v>0</v>
      </c>
      <c r="K434" s="191">
        <f t="shared" ca="1" si="190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IFERROR(__xludf.DUMMYFUNCTION("IMPORTRANGE(""https://docs.google.com/spreadsheets/d/1QqKyyYR6Q21VydFLVH3TRQUabQu_ym0Zz7PgGX0-kHA/edit?usp=sharing"",""แผน!FC71"")"),10)</f>
        <v>10</v>
      </c>
      <c r="J435" s="576">
        <v>0</v>
      </c>
      <c r="K435" s="495">
        <f t="shared" ca="1" si="190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IFERROR(__xludf.DUMMYFUNCTION("IMPORTRANGE(""https://docs.google.com/spreadsheets/d/1QqKyyYR6Q21VydFLVH3TRQUabQu_ym0Zz7PgGX0-kHA/edit?usp=sharing"",""แผน!FD71"")"),0)</f>
        <v>0</v>
      </c>
      <c r="J437" s="576">
        <v>0</v>
      </c>
      <c r="K437" s="495">
        <f t="shared" ref="K437:K443" ca="1" si="192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IFERROR(__xludf.DUMMYFUNCTION("IMPORTRANGE(""https://docs.google.com/spreadsheets/d/1QqKyyYR6Q21VydFLVH3TRQUabQu_ym0Zz7PgGX0-kHA/edit?usp=sharing"",""แผน!FE71"")"),0)</f>
        <v>0</v>
      </c>
      <c r="J438" s="210">
        <v>0</v>
      </c>
      <c r="K438" s="495">
        <f t="shared" ca="1" si="192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IFERROR(__xludf.DUMMYFUNCTION("IMPORTRANGE(""https://docs.google.com/spreadsheets/d/1QqKyyYR6Q21VydFLVH3TRQUabQu_ym0Zz7PgGX0-kHA/edit?usp=sharing"",""แผน!FF71"")"),10)</f>
        <v>10</v>
      </c>
      <c r="J439" s="576">
        <v>0</v>
      </c>
      <c r="K439" s="495">
        <f t="shared" ca="1" si="192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IFERROR(__xludf.DUMMYFUNCTION("IMPORTRANGE(""https://docs.google.com/spreadsheets/d/1QqKyyYR6Q21VydFLVH3TRQUabQu_ym0Zz7PgGX0-kHA/edit?usp=sharing"",""แผน!FG71"")"),1)</f>
        <v>1</v>
      </c>
      <c r="J440" s="210">
        <v>0</v>
      </c>
      <c r="K440" s="495">
        <f t="shared" ca="1" si="192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IFERROR(__xludf.DUMMYFUNCTION("IMPORTRANGE(""https://docs.google.com/spreadsheets/d/1QqKyyYR6Q21VydFLVH3TRQUabQu_ym0Zz7PgGX0-kHA/edit?usp=sharing"",""แผน!FH71"")"),0)</f>
        <v>0</v>
      </c>
      <c r="J441" s="264">
        <v>0</v>
      </c>
      <c r="K441" s="495">
        <f t="shared" ca="1" si="192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 hidden="1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3">I460</f>
        <v>0</v>
      </c>
      <c r="J442" s="582">
        <f t="shared" si="193"/>
        <v>0</v>
      </c>
      <c r="K442" s="583">
        <f t="shared" ca="1" si="192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 hidden="1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4">I462</f>
        <v>0</v>
      </c>
      <c r="J443" s="562">
        <f t="shared" si="194"/>
        <v>0</v>
      </c>
      <c r="K443" s="563">
        <f t="shared" ca="1" si="192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 hidden="1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5">L445+L446</f>
        <v>0</v>
      </c>
      <c r="M444" s="191">
        <f t="shared" si="195"/>
        <v>0</v>
      </c>
      <c r="N444" s="191">
        <f t="shared" si="195"/>
        <v>0</v>
      </c>
      <c r="O444" s="191">
        <f t="shared" ref="O444:O449" ca="1" si="196">IF(L444&gt;0,N444*100/L444,0)</f>
        <v>0</v>
      </c>
      <c r="P444" s="191">
        <f t="shared" ref="P444:P449" si="197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8">L448+L455</f>
        <v>0</v>
      </c>
      <c r="M445" s="90">
        <f t="shared" si="198"/>
        <v>0</v>
      </c>
      <c r="N445" s="90">
        <f t="shared" si="198"/>
        <v>0</v>
      </c>
      <c r="O445" s="90">
        <f t="shared" si="196"/>
        <v>0</v>
      </c>
      <c r="P445" s="90">
        <f t="shared" si="197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8"/>
        <v>0</v>
      </c>
      <c r="M446" s="90">
        <f t="shared" si="198"/>
        <v>0</v>
      </c>
      <c r="N446" s="90">
        <f t="shared" si="198"/>
        <v>0</v>
      </c>
      <c r="O446" s="90">
        <f t="shared" ca="1" si="196"/>
        <v>0</v>
      </c>
      <c r="P446" s="90">
        <f t="shared" si="197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 hidden="1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199">L448+L449</f>
        <v>0</v>
      </c>
      <c r="M447" s="495">
        <f t="shared" si="199"/>
        <v>0</v>
      </c>
      <c r="N447" s="495">
        <f t="shared" si="199"/>
        <v>0</v>
      </c>
      <c r="O447" s="495">
        <f t="shared" ca="1" si="196"/>
        <v>0</v>
      </c>
      <c r="P447" s="495">
        <f t="shared" si="197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6"/>
        <v>0</v>
      </c>
      <c r="P448" s="90">
        <f t="shared" si="197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IFERROR(__xludf.DUMMYFUNCTION("IMPORTRANGE(""https://docs.google.com/spreadsheets/d/1QqKyyYR6Q21VydFLVH3TRQUabQu_ym0Zz7PgGX0-kHA/edit?usp=sharing"",""แผน!FJ71"")"),0)</f>
        <v>0</v>
      </c>
      <c r="M449" s="90">
        <v>0</v>
      </c>
      <c r="N449" s="90">
        <f>N450+N451+N452+N453</f>
        <v>0</v>
      </c>
      <c r="O449" s="90">
        <f t="shared" ca="1" si="196"/>
        <v>0</v>
      </c>
      <c r="P449" s="90">
        <f t="shared" si="197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 hidden="1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 hidden="1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 hidden="1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 hidden="1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 hidden="1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0">L455+L456</f>
        <v>0</v>
      </c>
      <c r="M454" s="495">
        <f t="shared" si="200"/>
        <v>0</v>
      </c>
      <c r="N454" s="495">
        <f t="shared" si="200"/>
        <v>0</v>
      </c>
      <c r="O454" s="495">
        <f t="shared" ref="O454:O456" ca="1" si="201">IF(L454&gt;0,N454*100/L454,0)</f>
        <v>0</v>
      </c>
      <c r="P454" s="495">
        <f t="shared" ref="P454:P456" si="202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1"/>
        <v>0</v>
      </c>
      <c r="P455" s="90">
        <f t="shared" si="202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IFERROR(__xludf.DUMMYFUNCTION("IMPORTRANGE(""https://docs.google.com/spreadsheets/d/1QqKyyYR6Q21VydFLVH3TRQUabQu_ym0Zz7PgGX0-kHA/edit?usp=sharing"",""แผน!FM71"")"),0)</f>
        <v>0</v>
      </c>
      <c r="M456" s="90">
        <v>0</v>
      </c>
      <c r="N456" s="90">
        <v>0</v>
      </c>
      <c r="O456" s="90">
        <f t="shared" ca="1" si="201"/>
        <v>0</v>
      </c>
      <c r="P456" s="90">
        <f t="shared" si="202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 hidden="1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 hidden="1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IFERROR(__xludf.DUMMYFUNCTION("IMPORTRANGE(""https://docs.google.com/spreadsheets/d/1QqKyyYR6Q21VydFLVH3TRQUabQu_ym0Zz7PgGX0-kHA/edit?usp=sharing"",""แผน!FN71"")"),0)</f>
        <v>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 hidden="1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 hidden="1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IFERROR(__xludf.DUMMYFUNCTION("IMPORTRANGE(""https://docs.google.com/spreadsheets/d/1QqKyyYR6Q21VydFLVH3TRQUabQu_ym0Zz7PgGX0-kHA/edit?usp=sharing"",""แผน!FO71"")"),0)</f>
        <v>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 hidden="1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IFERROR(__xludf.DUMMYFUNCTION("IMPORTRANGE(""https://docs.google.com/spreadsheets/d/1QqKyyYR6Q21VydFLVH3TRQUabQu_ym0Zz7PgGX0-kHA/edit?usp=sharing"",""แผน!FO71"")"),0)</f>
        <v>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 hidden="1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IFERROR(__xludf.DUMMYFUNCTION("IMPORTRANGE(""https://docs.google.com/spreadsheets/d/1QqKyyYR6Q21VydFLVH3TRQUabQu_ym0Zz7PgGX0-kHA/edit?usp=sharing"",""แผน!FN71"")"),0)</f>
        <v>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 hidden="1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IFERROR(__xludf.DUMMYFUNCTION("IMPORTRANGE(""https://docs.google.com/spreadsheets/d/1QqKyyYR6Q21VydFLVH3TRQUabQu_ym0Zz7PgGX0-kHA/edit?usp=sharing"",""แผน!FX71"")"),0)</f>
        <v>0</v>
      </c>
      <c r="J465" s="582">
        <f>J485+J489+J492</f>
        <v>0</v>
      </c>
      <c r="K465" s="583">
        <f t="shared" ref="K465:K466" ca="1" si="203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 hidden="1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IFERROR(__xludf.DUMMYFUNCTION("IMPORTRANGE(""https://docs.google.com/spreadsheets/d/1QqKyyYR6Q21VydFLVH3TRQUabQu_ym0Zz7PgGX0-kHA/edit?usp=sharing"",""แผน!FW71"")"),0)</f>
        <v>0</v>
      </c>
      <c r="J466" s="562">
        <f>J483+J487</f>
        <v>0</v>
      </c>
      <c r="K466" s="563">
        <f t="shared" ca="1" si="203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 hidden="1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4">L468+L469</f>
        <v>0</v>
      </c>
      <c r="M467" s="191">
        <f t="shared" si="204"/>
        <v>0</v>
      </c>
      <c r="N467" s="191">
        <f t="shared" si="204"/>
        <v>0</v>
      </c>
      <c r="O467" s="191">
        <f t="shared" ref="O467:O472" ca="1" si="205">IF(L467&gt;0,N467*100/L467,0)</f>
        <v>0</v>
      </c>
      <c r="P467" s="191">
        <f t="shared" ref="P467:P472" si="206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7">L471+L478</f>
        <v>0</v>
      </c>
      <c r="M468" s="90">
        <f t="shared" si="207"/>
        <v>0</v>
      </c>
      <c r="N468" s="90">
        <f t="shared" si="207"/>
        <v>0</v>
      </c>
      <c r="O468" s="90">
        <f t="shared" si="205"/>
        <v>0</v>
      </c>
      <c r="P468" s="90">
        <f t="shared" si="206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7"/>
        <v>0</v>
      </c>
      <c r="M469" s="90">
        <f t="shared" si="207"/>
        <v>0</v>
      </c>
      <c r="N469" s="90">
        <f t="shared" si="207"/>
        <v>0</v>
      </c>
      <c r="O469" s="90">
        <f t="shared" ca="1" si="205"/>
        <v>0</v>
      </c>
      <c r="P469" s="90">
        <f t="shared" si="206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 hidden="1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8">L471+L472</f>
        <v>0</v>
      </c>
      <c r="M470" s="495">
        <f t="shared" si="208"/>
        <v>0</v>
      </c>
      <c r="N470" s="495">
        <f t="shared" si="208"/>
        <v>0</v>
      </c>
      <c r="O470" s="495">
        <f t="shared" ca="1" si="205"/>
        <v>0</v>
      </c>
      <c r="P470" s="495">
        <f t="shared" si="206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5"/>
        <v>0</v>
      </c>
      <c r="P471" s="90">
        <f t="shared" si="206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IFERROR(__xludf.DUMMYFUNCTION("IMPORTRANGE(""https://docs.google.com/spreadsheets/d/1QqKyyYR6Q21VydFLVH3TRQUabQu_ym0Zz7PgGX0-kHA/edit?usp=sharing"",""แผน!FS71"")"),0)</f>
        <v>0</v>
      </c>
      <c r="M472" s="90">
        <v>0</v>
      </c>
      <c r="N472" s="90">
        <f>N473+N474+N475+N476</f>
        <v>0</v>
      </c>
      <c r="O472" s="90">
        <f t="shared" ca="1" si="205"/>
        <v>0</v>
      </c>
      <c r="P472" s="90">
        <f t="shared" si="206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 hidden="1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 hidden="1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 hidden="1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 hidden="1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 hidden="1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09">L478+L479</f>
        <v>0</v>
      </c>
      <c r="M477" s="495">
        <f t="shared" si="209"/>
        <v>0</v>
      </c>
      <c r="N477" s="495">
        <f t="shared" si="209"/>
        <v>0</v>
      </c>
      <c r="O477" s="495">
        <f t="shared" ref="O477:O479" ca="1" si="210">IF(L477&gt;0,N477*100/L477,0)</f>
        <v>0</v>
      </c>
      <c r="P477" s="495">
        <f t="shared" ref="P477:P479" si="211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0"/>
        <v>0</v>
      </c>
      <c r="P478" s="90">
        <f t="shared" si="211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IFERROR(__xludf.DUMMYFUNCTION("IMPORTRANGE(""https://docs.google.com/spreadsheets/d/1QqKyyYR6Q21VydFLVH3TRQUabQu_ym0Zz7PgGX0-kHA/edit?usp=sharing"",""แผน!FV71"")"),0)</f>
        <v>0</v>
      </c>
      <c r="M479" s="90">
        <v>0</v>
      </c>
      <c r="N479" s="90">
        <v>0</v>
      </c>
      <c r="O479" s="90">
        <f t="shared" ca="1" si="210"/>
        <v>0</v>
      </c>
      <c r="P479" s="90">
        <f t="shared" si="211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 hidden="1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 hidden="1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 hidden="1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 hidden="1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IFERROR(__xludf.DUMMYFUNCTION("IMPORTRANGE(""https://docs.google.com/spreadsheets/d/1QqKyyYR6Q21VydFLVH3TRQUabQu_ym0Zz7PgGX0-kHA/edit?usp=sharing"",""แผน!FY71"")"),0)</f>
        <v>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 hidden="1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 hidden="1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IFERROR(__xludf.DUMMYFUNCTION("IMPORTRANGE(""https://docs.google.com/spreadsheets/d/1QqKyyYR6Q21VydFLVH3TRQUabQu_ym0Zz7PgGX0-kHA/edit?usp=sharing"",""แผน!FZ71"")"),0)</f>
        <v>0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 hidden="1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 hidden="1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IFERROR(__xludf.DUMMYFUNCTION("IMPORTRANGE(""https://docs.google.com/spreadsheets/d/1QqKyyYR6Q21VydFLVH3TRQUabQu_ym0Zz7PgGX0-kHA/edit?usp=sharing"",""แผน!GA71"")"),0)</f>
        <v>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 hidden="1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 hidden="1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IFERROR(__xludf.DUMMYFUNCTION("IMPORTRANGE(""https://docs.google.com/spreadsheets/d/1QqKyyYR6Q21VydFLVH3TRQUabQu_ym0Zz7PgGX0-kHA/edit?usp=sharing"",""แผน!GB71"")"),0)</f>
        <v>0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 hidden="1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 hidden="1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 hidden="1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IFERROR(__xludf.DUMMYFUNCTION("IMPORTRANGE(""https://docs.google.com/spreadsheets/d/1QqKyyYR6Q21VydFLVH3TRQUabQu_ym0Zz7PgGX0-kHA/edit?usp=sharing"",""แผน!GC71"")"),0)</f>
        <v>0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 hidden="1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 hidden="1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 hidden="1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IFERROR(__xludf.DUMMYFUNCTION("IMPORTRANGE(""https://docs.google.com/spreadsheets/d/1QqKyyYR6Q21VydFLVH3TRQUabQu_ym0Zz7PgGX0-kHA/edit?usp=sharing"",""แผน!FY71"")"),0)</f>
        <v>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 hidden="1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 hidden="1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 hidden="1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IFERROR(__xludf.DUMMYFUNCTION("IMPORTRANGE(""https://docs.google.com/spreadsheets/d/1QqKyyYR6Q21VydFLVH3TRQUabQu_ym0Zz7PgGX0-kHA/edit?usp=sharing"",""แผน!GA71"")"),0)</f>
        <v>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 hidden="1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2">J516</f>
        <v>0</v>
      </c>
      <c r="K500" s="626">
        <f t="shared" ref="K500:K501" si="213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2"/>
        <v>0</v>
      </c>
      <c r="K501" s="635">
        <f t="shared" si="213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4">L503+L504</f>
        <v>0</v>
      </c>
      <c r="M502" s="639">
        <f t="shared" si="214"/>
        <v>0</v>
      </c>
      <c r="N502" s="639">
        <f t="shared" si="214"/>
        <v>0</v>
      </c>
      <c r="O502" s="639">
        <f t="shared" ref="O502:O507" si="215">IF(L502&gt;0,N502*100/L502,0)</f>
        <v>0</v>
      </c>
      <c r="P502" s="639">
        <f t="shared" ref="P502:P507" si="216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7">L506+L513</f>
        <v>0</v>
      </c>
      <c r="M503" s="90">
        <f t="shared" si="217"/>
        <v>0</v>
      </c>
      <c r="N503" s="90">
        <f t="shared" si="217"/>
        <v>0</v>
      </c>
      <c r="O503" s="90">
        <f t="shared" si="215"/>
        <v>0</v>
      </c>
      <c r="P503" s="90">
        <f t="shared" si="216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7"/>
        <v>0</v>
      </c>
      <c r="M504" s="90">
        <f t="shared" si="217"/>
        <v>0</v>
      </c>
      <c r="N504" s="90">
        <f t="shared" si="217"/>
        <v>0</v>
      </c>
      <c r="O504" s="90">
        <f t="shared" si="215"/>
        <v>0</v>
      </c>
      <c r="P504" s="90">
        <f t="shared" si="216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8">L506+L507</f>
        <v>0</v>
      </c>
      <c r="M505" s="90">
        <f t="shared" si="218"/>
        <v>0</v>
      </c>
      <c r="N505" s="90">
        <f t="shared" si="218"/>
        <v>0</v>
      </c>
      <c r="O505" s="90">
        <f t="shared" si="215"/>
        <v>0</v>
      </c>
      <c r="P505" s="90">
        <f t="shared" si="216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5"/>
        <v>0</v>
      </c>
      <c r="P506" s="90">
        <f t="shared" si="216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5"/>
        <v>0</v>
      </c>
      <c r="P507" s="90">
        <f t="shared" si="216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19">L513+L514</f>
        <v>0</v>
      </c>
      <c r="M512" s="90">
        <f t="shared" si="219"/>
        <v>0</v>
      </c>
      <c r="N512" s="90">
        <f t="shared" si="219"/>
        <v>0</v>
      </c>
      <c r="O512" s="90">
        <f t="shared" ref="O512:O514" si="220">IF(L512&gt;0,N512*100/L512,0)</f>
        <v>0</v>
      </c>
      <c r="P512" s="90">
        <f t="shared" ref="P512:P514" si="221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0"/>
        <v>0</v>
      </c>
      <c r="P513" s="90">
        <f t="shared" si="221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0"/>
        <v>0</v>
      </c>
      <c r="P514" s="90">
        <f t="shared" si="221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2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2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 hidden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3">I537</f>
        <v>0</v>
      </c>
      <c r="J522" s="698">
        <f t="shared" ca="1" si="223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4">L524+L525</f>
        <v>0</v>
      </c>
      <c r="M523" s="191">
        <f t="shared" si="224"/>
        <v>0</v>
      </c>
      <c r="N523" s="191">
        <f t="shared" si="224"/>
        <v>0</v>
      </c>
      <c r="O523" s="191">
        <f t="shared" ref="O523:O528" ca="1" si="225">IF(L523&gt;0,N523*100/L523,0)</f>
        <v>0</v>
      </c>
      <c r="P523" s="191">
        <f t="shared" ref="P523:P528" si="226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7">L527+L534</f>
        <v>0</v>
      </c>
      <c r="M524" s="90">
        <f t="shared" si="227"/>
        <v>0</v>
      </c>
      <c r="N524" s="90">
        <f t="shared" si="227"/>
        <v>0</v>
      </c>
      <c r="O524" s="90">
        <f t="shared" si="225"/>
        <v>0</v>
      </c>
      <c r="P524" s="90">
        <f t="shared" si="226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7"/>
        <v>0</v>
      </c>
      <c r="M525" s="90">
        <f t="shared" si="227"/>
        <v>0</v>
      </c>
      <c r="N525" s="90">
        <f t="shared" si="227"/>
        <v>0</v>
      </c>
      <c r="O525" s="90">
        <f t="shared" ca="1" si="225"/>
        <v>0</v>
      </c>
      <c r="P525" s="90">
        <f t="shared" si="226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8">L527+L528</f>
        <v>0</v>
      </c>
      <c r="M526" s="495">
        <f t="shared" si="228"/>
        <v>0</v>
      </c>
      <c r="N526" s="495">
        <f t="shared" si="228"/>
        <v>0</v>
      </c>
      <c r="O526" s="495">
        <f t="shared" ca="1" si="225"/>
        <v>0</v>
      </c>
      <c r="P526" s="495">
        <f t="shared" si="226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5"/>
        <v>0</v>
      </c>
      <c r="P527" s="90">
        <f t="shared" si="226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IFERROR(__xludf.DUMMYFUNCTION("IMPORTRANGE(""https://docs.google.com/spreadsheets/d/1QqKyyYR6Q21VydFLVH3TRQUabQu_ym0Zz7PgGX0-kHA/edit?usp=sharing"",""แผน!GQ71"")"),0)</f>
        <v>0</v>
      </c>
      <c r="M528" s="90">
        <v>0</v>
      </c>
      <c r="N528" s="90">
        <f>N529+N530+N531+N532</f>
        <v>0</v>
      </c>
      <c r="O528" s="90">
        <f t="shared" ca="1" si="225"/>
        <v>0</v>
      </c>
      <c r="P528" s="90">
        <f t="shared" si="226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29">L534+L535</f>
        <v>0</v>
      </c>
      <c r="M533" s="495">
        <f t="shared" si="229"/>
        <v>0</v>
      </c>
      <c r="N533" s="495">
        <f t="shared" si="229"/>
        <v>0</v>
      </c>
      <c r="O533" s="495">
        <f t="shared" ref="O533:O535" ca="1" si="230">IF(L533&gt;0,N533*100/L533,0)</f>
        <v>0</v>
      </c>
      <c r="P533" s="495">
        <f t="shared" ref="P533:P535" si="231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0"/>
        <v>0</v>
      </c>
      <c r="P534" s="90">
        <f t="shared" si="231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IFERROR(__xludf.DUMMYFUNCTION("IMPORTRANGE(""https://docs.google.com/spreadsheets/d/1QqKyyYR6Q21VydFLVH3TRQUabQu_ym0Zz7PgGX0-kHA/edit?usp=sharing"",""แผน!GT71"")"),0)</f>
        <v>0</v>
      </c>
      <c r="M535" s="90">
        <v>0</v>
      </c>
      <c r="N535" s="90">
        <v>0</v>
      </c>
      <c r="O535" s="90">
        <f t="shared" ca="1" si="230"/>
        <v>0</v>
      </c>
      <c r="P535" s="90">
        <f t="shared" si="231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IFERROR(__xludf.DUMMYFUNCTION("IMPORTRANGE(""https://docs.google.com/spreadsheets/d/1QqKyyYR6Q21VydFLVH3TRQUabQu_ym0Zz7PgGX0-kHA/edit?usp=sharing"",""แผน!GU71"")"),0)</f>
        <v>0</v>
      </c>
      <c r="J537" s="673">
        <f ca="1">IF(AND(J538=I538,J539=I539,J540=I540,J541=I541),I537,0)</f>
        <v>0</v>
      </c>
      <c r="K537" s="495">
        <f t="shared" ref="K537:K543" ca="1" si="232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IFERROR(__xludf.DUMMYFUNCTION("IMPORTRANGE(""https://docs.google.com/spreadsheets/d/1QqKyyYR6Q21VydFLVH3TRQUabQu_ym0Zz7PgGX0-kHA/edit?usp=sharing"",""แผน!GV71"")"),0)</f>
        <v>0</v>
      </c>
      <c r="J538" s="210">
        <v>0</v>
      </c>
      <c r="K538" s="495">
        <f t="shared" ca="1" si="232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IFERROR(__xludf.DUMMYFUNCTION("IMPORTRANGE(""https://docs.google.com/spreadsheets/d/1QqKyyYR6Q21VydFLVH3TRQUabQu_ym0Zz7PgGX0-kHA/edit?usp=sharing"",""แผน!GW71"")"),0)</f>
        <v>0</v>
      </c>
      <c r="J539" s="210">
        <v>0</v>
      </c>
      <c r="K539" s="495">
        <f t="shared" ca="1" si="232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IFERROR(__xludf.DUMMYFUNCTION("IMPORTRANGE(""https://docs.google.com/spreadsheets/d/1QqKyyYR6Q21VydFLVH3TRQUabQu_ym0Zz7PgGX0-kHA/edit?usp=sharing"",""แผน!GX71"")"),0)</f>
        <v>0</v>
      </c>
      <c r="J540" s="210">
        <v>0</v>
      </c>
      <c r="K540" s="495">
        <f t="shared" ca="1" si="232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IFERROR(__xludf.DUMMYFUNCTION("IMPORTRANGE(""https://docs.google.com/spreadsheets/d/1QqKyyYR6Q21VydFLVH3TRQUabQu_ym0Zz7PgGX0-kHA/edit?usp=sharing"",""แผน!GY71"")"),0)</f>
        <v>0</v>
      </c>
      <c r="J541" s="210">
        <v>0</v>
      </c>
      <c r="K541" s="495">
        <f t="shared" ca="1" si="232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IFERROR(__xludf.DUMMYFUNCTION("IMPORTRANGE(""https://docs.google.com/spreadsheets/d/1QqKyyYR6Q21VydFLVH3TRQUabQu_ym0Zz7PgGX0-kHA/edit?usp=sharing"",""แผน!GZ71"")"),0)</f>
        <v>0</v>
      </c>
      <c r="J542" s="210">
        <v>0</v>
      </c>
      <c r="K542" s="495">
        <f t="shared" ca="1" si="232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3">I559</f>
        <v>0</v>
      </c>
      <c r="J543" s="679">
        <f t="shared" si="233"/>
        <v>0</v>
      </c>
      <c r="K543" s="680">
        <f t="shared" ca="1" si="232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4">L545+L546</f>
        <v>66000</v>
      </c>
      <c r="M544" s="151">
        <f t="shared" si="234"/>
        <v>0</v>
      </c>
      <c r="N544" s="151">
        <f t="shared" si="234"/>
        <v>0</v>
      </c>
      <c r="O544" s="151">
        <f t="shared" ref="O544:O549" ca="1" si="235">IF(L544&gt;0,N544*100/L544,0)</f>
        <v>0</v>
      </c>
      <c r="P544" s="151">
        <f t="shared" ref="P544:P549" si="236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7">L548+L556</f>
        <v>0</v>
      </c>
      <c r="M545" s="90">
        <f t="shared" ref="M545:N546" si="238">M548+M555</f>
        <v>0</v>
      </c>
      <c r="N545" s="90">
        <f t="shared" si="238"/>
        <v>0</v>
      </c>
      <c r="O545" s="90">
        <f t="shared" si="235"/>
        <v>0</v>
      </c>
      <c r="P545" s="90">
        <f t="shared" si="236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7"/>
        <v>66000</v>
      </c>
      <c r="M546" s="90">
        <f t="shared" si="238"/>
        <v>0</v>
      </c>
      <c r="N546" s="90">
        <f t="shared" si="238"/>
        <v>0</v>
      </c>
      <c r="O546" s="90">
        <f t="shared" ca="1" si="235"/>
        <v>0</v>
      </c>
      <c r="P546" s="90">
        <f t="shared" si="236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39">L548+L549</f>
        <v>66000</v>
      </c>
      <c r="M547" s="495">
        <f t="shared" si="239"/>
        <v>0</v>
      </c>
      <c r="N547" s="495">
        <f t="shared" si="239"/>
        <v>0</v>
      </c>
      <c r="O547" s="495">
        <f t="shared" ca="1" si="235"/>
        <v>0</v>
      </c>
      <c r="P547" s="495">
        <f t="shared" si="236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5"/>
        <v>0</v>
      </c>
      <c r="P548" s="90">
        <f t="shared" si="236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IFERROR(__xludf.DUMMYFUNCTION("IMPORTRANGE(""https://docs.google.com/spreadsheets/d/1QqKyyYR6Q21VydFLVH3TRQUabQu_ym0Zz7PgGX0-kHA/edit?usp=sharing"",""แผน!HB71"")"),66000)</f>
        <v>66000</v>
      </c>
      <c r="M549" s="90">
        <v>0</v>
      </c>
      <c r="N549" s="90">
        <f>N550+N551+N552+N553+N554</f>
        <v>0</v>
      </c>
      <c r="O549" s="90">
        <f t="shared" ca="1" si="235"/>
        <v>0</v>
      </c>
      <c r="P549" s="90">
        <f t="shared" si="236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0">L556+L557</f>
        <v>0</v>
      </c>
      <c r="M555" s="495">
        <f t="shared" si="240"/>
        <v>0</v>
      </c>
      <c r="N555" s="495">
        <f t="shared" si="240"/>
        <v>0</v>
      </c>
      <c r="O555" s="495">
        <f t="shared" ref="O555:O557" ca="1" si="241">IF(L555&gt;0,N555*100/L555,0)</f>
        <v>0</v>
      </c>
      <c r="P555" s="495">
        <f t="shared" ref="P555:P557" si="242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1"/>
        <v>0</v>
      </c>
      <c r="P556" s="90">
        <f t="shared" si="242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IFERROR(__xludf.DUMMYFUNCTION("IMPORTRANGE(""https://docs.google.com/spreadsheets/d/1QqKyyYR6Q21VydFLVH3TRQUabQu_ym0Zz7PgGX0-kHA/edit?usp=sharing"",""แผน!HF71"")"),0)</f>
        <v>0</v>
      </c>
      <c r="M557" s="90">
        <v>0</v>
      </c>
      <c r="N557" s="90">
        <v>0</v>
      </c>
      <c r="O557" s="90">
        <f t="shared" ca="1" si="241"/>
        <v>0</v>
      </c>
      <c r="P557" s="90">
        <f t="shared" si="242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 hidden="1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3">I576</f>
        <v>0</v>
      </c>
      <c r="J559" s="698">
        <f t="shared" si="243"/>
        <v>0</v>
      </c>
      <c r="K559" s="669">
        <f t="shared" ref="K559:K561" ca="1" si="244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IFERROR(__xludf.DUMMYFUNCTION("IMPORTRANGE(""https://docs.google.com/spreadsheets/d/1QqKyyYR6Q21VydFLVH3TRQUabQu_ym0Zz7PgGX0-kHA/edit?usp=sharing"",""แผน!HH71"")"),0)</f>
        <v>0</v>
      </c>
      <c r="J560" s="189">
        <f t="shared" ref="J560:J561" si="245">J562+J564+J566</f>
        <v>0</v>
      </c>
      <c r="K560" s="409">
        <f t="shared" ca="1" si="244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IFERROR(__xludf.DUMMYFUNCTION("IMPORTRANGE(""https://docs.google.com/spreadsheets/d/1QqKyyYR6Q21VydFLVH3TRQUabQu_ym0Zz7PgGX0-kHA/edit?usp=sharing"",""แผน!HG71"")"),0)</f>
        <v>0</v>
      </c>
      <c r="J561" s="189">
        <f t="shared" si="245"/>
        <v>0</v>
      </c>
      <c r="K561" s="409">
        <f t="shared" ca="1" si="244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IFERROR(__xludf.DUMMYFUNCTION("IMPORTRANGE(""https://docs.google.com/spreadsheets/d/1QqKyyYR6Q21VydFLVH3TRQUabQu_ym0Zz7PgGX0-kHA/edit?usp=sharing"",""แผน!HH71"")"),0)</f>
        <v>0</v>
      </c>
      <c r="J568" s="673">
        <f t="shared" ref="J568:J569" si="246">J570+J572+J574</f>
        <v>0</v>
      </c>
      <c r="K568" s="409">
        <f t="shared" ref="K568:K569" ca="1" si="247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IFERROR(__xludf.DUMMYFUNCTION("IMPORTRANGE(""https://docs.google.com/spreadsheets/d/1QqKyyYR6Q21VydFLVH3TRQUabQu_ym0Zz7PgGX0-kHA/edit?usp=sharing"",""แผน!HG71"")"),0)</f>
        <v>0</v>
      </c>
      <c r="J569" s="673">
        <f t="shared" si="246"/>
        <v>0</v>
      </c>
      <c r="K569" s="409">
        <f t="shared" ca="1" si="247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IFERROR(__xludf.DUMMYFUNCTION("IMPORTRANGE(""https://docs.google.com/spreadsheets/d/1QqKyyYR6Q21VydFLVH3TRQUabQu_ym0Zz7PgGX0-kHA/edit?usp=sharing"",""แผน!HH71"")"),0)</f>
        <v>0</v>
      </c>
      <c r="J576" s="673">
        <f t="shared" ref="J576:J577" si="248">J578+J580+J582+J588+J590</f>
        <v>0</v>
      </c>
      <c r="K576" s="409">
        <f t="shared" ref="K576:K577" ca="1" si="249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IFERROR(__xludf.DUMMYFUNCTION("IMPORTRANGE(""https://docs.google.com/spreadsheets/d/1QqKyyYR6Q21VydFLVH3TRQUabQu_ym0Zz7PgGX0-kHA/edit?usp=sharing"",""แผน!HG71"")"),0)</f>
        <v>0</v>
      </c>
      <c r="J577" s="673">
        <f t="shared" si="248"/>
        <v>0</v>
      </c>
      <c r="K577" s="409">
        <f t="shared" ca="1" si="249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0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0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 hidden="1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1">I593</f>
        <v>0</v>
      </c>
      <c r="J592" s="698">
        <f t="shared" si="251"/>
        <v>0</v>
      </c>
      <c r="K592" s="669">
        <f t="shared" ref="K592:K594" ca="1" si="252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 hidden="1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IFERROR(__xludf.DUMMYFUNCTION("IMPORTRANGE(""https://docs.google.com/spreadsheets/d/1QqKyyYR6Q21VydFLVH3TRQUabQu_ym0Zz7PgGX0-kHA/edit?usp=sharing"",""แผน!HJ71"")"),0)</f>
        <v>0</v>
      </c>
      <c r="J593" s="189">
        <f t="shared" ref="J593:J594" si="253">J595+J603+J609</f>
        <v>0</v>
      </c>
      <c r="K593" s="409">
        <f t="shared" ca="1" si="252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 hidden="1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IFERROR(__xludf.DUMMYFUNCTION("IMPORTRANGE(""https://docs.google.com/spreadsheets/d/1QqKyyYR6Q21VydFLVH3TRQUabQu_ym0Zz7PgGX0-kHA/edit?usp=sharing"",""แผน!HI71"")"),0)</f>
        <v>0</v>
      </c>
      <c r="J594" s="189">
        <f t="shared" si="253"/>
        <v>0</v>
      </c>
      <c r="K594" s="409">
        <f t="shared" ca="1" si="252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 hidden="1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4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 hidden="1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4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 hidden="1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 hidden="1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 hidden="1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 hidden="1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 hidden="1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 hidden="1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 hidden="1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5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 hidden="1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5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 hidden="1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 hidden="1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 hidden="1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 hidden="1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 hidden="1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 hidden="1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6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7">J614+J616</f>
        <v>0</v>
      </c>
      <c r="K612" s="707">
        <f t="shared" si="256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7"/>
        <v>0</v>
      </c>
      <c r="K613" s="707">
        <f t="shared" si="256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IFERROR(__xludf.DUMMYFUNCTION("IMPORTRANGE(""https://docs.google.com/spreadsheets/d/1QqKyyYR6Q21VydFLVH3TRQUabQu_ym0Zz7PgGX0-kHA/edit?usp=sharing"",""แผน!HL71"")"),0)</f>
        <v>0</v>
      </c>
      <c r="J620" s="718">
        <f t="shared" ref="J620:J621" si="258">J622+J624+J626</f>
        <v>0</v>
      </c>
      <c r="K620" s="719">
        <f t="shared" ref="K620:K621" ca="1" si="259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IFERROR(__xludf.DUMMYFUNCTION("IMPORTRANGE(""https://docs.google.com/spreadsheets/d/1QqKyyYR6Q21VydFLVH3TRQUabQu_ym0Zz7PgGX0-kHA/edit?usp=sharing"",""แผน!HK71"")"),0)</f>
        <v>0</v>
      </c>
      <c r="J621" s="718">
        <f t="shared" si="258"/>
        <v>0</v>
      </c>
      <c r="K621" s="719">
        <f t="shared" ca="1" si="259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0">I651</f>
        <v>0</v>
      </c>
      <c r="J628" s="731">
        <f t="shared" ca="1" si="260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1">L630+L631</f>
        <v>0</v>
      </c>
      <c r="M629" s="191">
        <f t="shared" si="261"/>
        <v>0</v>
      </c>
      <c r="N629" s="191">
        <f t="shared" si="261"/>
        <v>0</v>
      </c>
      <c r="O629" s="191">
        <f t="shared" ref="O629:O634" ca="1" si="262">IF(L629&gt;0,N629*100/L629,0)</f>
        <v>0</v>
      </c>
      <c r="P629" s="191">
        <f t="shared" ref="P629:P634" si="263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4">L633+L640</f>
        <v>0</v>
      </c>
      <c r="M630" s="90">
        <f t="shared" si="264"/>
        <v>0</v>
      </c>
      <c r="N630" s="90">
        <f t="shared" si="264"/>
        <v>0</v>
      </c>
      <c r="O630" s="90">
        <f t="shared" si="262"/>
        <v>0</v>
      </c>
      <c r="P630" s="90">
        <f t="shared" si="263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4"/>
        <v>0</v>
      </c>
      <c r="M631" s="90">
        <f t="shared" si="264"/>
        <v>0</v>
      </c>
      <c r="N631" s="90">
        <f t="shared" si="264"/>
        <v>0</v>
      </c>
      <c r="O631" s="90">
        <f t="shared" ca="1" si="262"/>
        <v>0</v>
      </c>
      <c r="P631" s="90">
        <f t="shared" si="263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5">L633+L634</f>
        <v>0</v>
      </c>
      <c r="M632" s="495">
        <f t="shared" si="265"/>
        <v>0</v>
      </c>
      <c r="N632" s="495">
        <f t="shared" si="265"/>
        <v>0</v>
      </c>
      <c r="O632" s="495">
        <f t="shared" ca="1" si="262"/>
        <v>0</v>
      </c>
      <c r="P632" s="495">
        <f t="shared" si="263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2"/>
        <v>0</v>
      </c>
      <c r="P633" s="90">
        <f t="shared" si="263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IFERROR(__xludf.DUMMYFUNCTION("IMPORTRANGE(""https://docs.google.com/spreadsheets/d/1QqKyyYR6Q21VydFLVH3TRQUabQu_ym0Zz7PgGX0-kHA/edit?usp=sharing"",""แผน!HN71"")"),0)</f>
        <v>0</v>
      </c>
      <c r="M634" s="90">
        <v>0</v>
      </c>
      <c r="N634" s="90">
        <f>N635+N636+N637+N638</f>
        <v>0</v>
      </c>
      <c r="O634" s="90">
        <f t="shared" ca="1" si="262"/>
        <v>0</v>
      </c>
      <c r="P634" s="90">
        <f t="shared" si="263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6">L640+L641</f>
        <v>0</v>
      </c>
      <c r="M639" s="495">
        <f t="shared" si="266"/>
        <v>0</v>
      </c>
      <c r="N639" s="495">
        <f t="shared" si="266"/>
        <v>0</v>
      </c>
      <c r="O639" s="495">
        <f t="shared" ref="O639:O641" ca="1" si="267">IF(L639&gt;0,N639*100/L639,0)</f>
        <v>0</v>
      </c>
      <c r="P639" s="495">
        <f t="shared" ref="P639:P641" si="268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7"/>
        <v>0</v>
      </c>
      <c r="P640" s="90">
        <f t="shared" si="268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IFERROR(__xludf.DUMMYFUNCTION("IMPORTRANGE(""https://docs.google.com/spreadsheets/d/1QqKyyYR6Q21VydFLVH3TRQUabQu_ym0Zz7PgGX0-kHA/edit?usp=sharing"",""แผน!HQ71"")"),0)</f>
        <v>0</v>
      </c>
      <c r="M641" s="90">
        <v>0</v>
      </c>
      <c r="N641" s="90">
        <v>0</v>
      </c>
      <c r="O641" s="90">
        <f t="shared" ca="1" si="267"/>
        <v>0</v>
      </c>
      <c r="P641" s="90">
        <f t="shared" si="268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IFERROR(__xludf.DUMMYFUNCTION("IMPORTRANGE(""https://docs.google.com/spreadsheets/d/1QqKyyYR6Q21VydFLVH3TRQUabQu_ym0Zz7PgGX0-kHA/edit?usp=sharing"",""แผน!HR71"")"),0)</f>
        <v>0</v>
      </c>
      <c r="J643" s="210">
        <v>0</v>
      </c>
      <c r="K643" s="159">
        <f t="shared" ref="K643:K652" ca="1" si="269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IFERROR(__xludf.DUMMYFUNCTION("IMPORTRANGE(""https://docs.google.com/spreadsheets/d/1QqKyyYR6Q21VydFLVH3TRQUabQu_ym0Zz7PgGX0-kHA/edit?usp=sharing"",""แผน!HR71"")"),0)</f>
        <v>0</v>
      </c>
      <c r="J644" s="210">
        <v>0</v>
      </c>
      <c r="K644" s="159">
        <f t="shared" ca="1" si="269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IFERROR(__xludf.DUMMYFUNCTION("IMPORTRANGE(""https://docs.google.com/spreadsheets/d/1XWAQStnk-4SwqDmLtmXYiTMKHgktTP8We1SCoS47DrQ/edit?usp=sharing"",""จัดที่ดิน!AS71"")"),0)</f>
        <v>0</v>
      </c>
      <c r="K645" s="159">
        <f t="shared" si="269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IFERROR(__xludf.DUMMYFUNCTION("IMPORTRANGE(""https://docs.google.com/spreadsheets/d/1XWAQStnk-4SwqDmLtmXYiTMKHgktTP8We1SCoS47DrQ/edit?usp=sharing"",""จัดที่ดิน!AT71"")"),0)</f>
        <v>0</v>
      </c>
      <c r="K646" s="495">
        <f t="shared" si="269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IFERROR(__xludf.DUMMYFUNCTION("IMPORTRANGE(""https://docs.google.com/spreadsheets/d/1QqKyyYR6Q21VydFLVH3TRQUabQu_ym0Zz7PgGX0-kHA/edit?usp=sharing"",""แผน!HS71"")"),0)</f>
        <v>0</v>
      </c>
      <c r="J647" s="264">
        <f ca="1">IFERROR(__xludf.DUMMYFUNCTION("IMPORTRANGE(""https://docs.google.com/spreadsheets/d/1XWAQStnk-4SwqDmLtmXYiTMKHgktTP8We1SCoS47DrQ/edit?usp=sharing"",""จัดที่ดิน!AU71"")"),0)</f>
        <v>0</v>
      </c>
      <c r="K647" s="159">
        <f t="shared" ca="1" si="269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IFERROR(__xludf.DUMMYFUNCTION("IMPORTRANGE(""https://docs.google.com/spreadsheets/d/1XWAQStnk-4SwqDmLtmXYiTMKHgktTP8We1SCoS47DrQ/edit?usp=sharing"",""จัดที่ดิน!AV71"")"),0)</f>
        <v>0</v>
      </c>
      <c r="K648" s="495">
        <f t="shared" si="269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IFERROR(__xludf.DUMMYFUNCTION("IMPORTRANGE(""https://docs.google.com/spreadsheets/d/1QqKyyYR6Q21VydFLVH3TRQUabQu_ym0Zz7PgGX0-kHA/edit?usp=sharing"",""แผน!HS71"")"),0)</f>
        <v>0</v>
      </c>
      <c r="J649" s="264">
        <f ca="1">IFERROR(__xludf.DUMMYFUNCTION("IMPORTRANGE(""https://docs.google.com/spreadsheets/d/1XWAQStnk-4SwqDmLtmXYiTMKHgktTP8We1SCoS47DrQ/edit?usp=sharing"",""จัดที่ดิน!AW71"")"),0)</f>
        <v>0</v>
      </c>
      <c r="K649" s="159">
        <f t="shared" ca="1" si="269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IFERROR(__xludf.DUMMYFUNCTION("IMPORTRANGE(""https://docs.google.com/spreadsheets/d/1XWAQStnk-4SwqDmLtmXYiTMKHgktTP8We1SCoS47DrQ/edit?usp=sharing"",""จัดที่ดิน!AX71"")"),0)</f>
        <v>0</v>
      </c>
      <c r="K650" s="495">
        <f t="shared" si="269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IFERROR(__xludf.DUMMYFUNCTION("IMPORTRANGE(""https://docs.google.com/spreadsheets/d/1QqKyyYR6Q21VydFLVH3TRQUabQu_ym0Zz7PgGX0-kHA/edit?usp=sharing"",""แผน!HS71"")"),0)</f>
        <v>0</v>
      </c>
      <c r="J651" s="264">
        <f ca="1">IFERROR(__xludf.DUMMYFUNCTION("IMPORTRANGE(""https://docs.google.com/spreadsheets/d/1XWAQStnk-4SwqDmLtmXYiTMKHgktTP8We1SCoS47DrQ/edit?usp=sharing"",""จัดที่ดิน!AY71"")"),0)</f>
        <v>0</v>
      </c>
      <c r="K651" s="159">
        <f t="shared" ca="1" si="269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IFERROR(__xludf.DUMMYFUNCTION("IMPORTRANGE(""https://docs.google.com/spreadsheets/d/1XWAQStnk-4SwqDmLtmXYiTMKHgktTP8We1SCoS47DrQ/edit?usp=sharing"",""จัดที่ดิน!AZ71"")"),0)</f>
        <v>0</v>
      </c>
      <c r="K652" s="499">
        <f t="shared" si="269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0">I669</f>
        <v>100</v>
      </c>
      <c r="J654" s="698">
        <f t="shared" si="270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1">L656+L657</f>
        <v>12400</v>
      </c>
      <c r="M655" s="191">
        <f t="shared" si="271"/>
        <v>0</v>
      </c>
      <c r="N655" s="191">
        <f t="shared" si="271"/>
        <v>6400</v>
      </c>
      <c r="O655" s="191">
        <f t="shared" ref="O655:O660" ca="1" si="272">IF(L655&gt;0,N655*100/L655,0)</f>
        <v>51.612903225806448</v>
      </c>
      <c r="P655" s="191">
        <f t="shared" ref="P655:P660" si="273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4">L659+L666</f>
        <v>0</v>
      </c>
      <c r="M656" s="90">
        <f t="shared" si="274"/>
        <v>0</v>
      </c>
      <c r="N656" s="90">
        <f t="shared" si="274"/>
        <v>0</v>
      </c>
      <c r="O656" s="90">
        <f t="shared" si="272"/>
        <v>0</v>
      </c>
      <c r="P656" s="90">
        <f t="shared" si="273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4"/>
        <v>12400</v>
      </c>
      <c r="M657" s="90">
        <f t="shared" si="274"/>
        <v>0</v>
      </c>
      <c r="N657" s="90">
        <f t="shared" si="274"/>
        <v>6400</v>
      </c>
      <c r="O657" s="90">
        <f t="shared" ca="1" si="272"/>
        <v>51.612903225806448</v>
      </c>
      <c r="P657" s="90">
        <f t="shared" si="273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5">L659+L660</f>
        <v>12400</v>
      </c>
      <c r="M658" s="495">
        <f t="shared" si="275"/>
        <v>0</v>
      </c>
      <c r="N658" s="495">
        <f t="shared" si="275"/>
        <v>6400</v>
      </c>
      <c r="O658" s="495">
        <f t="shared" ca="1" si="272"/>
        <v>51.612903225806448</v>
      </c>
      <c r="P658" s="495">
        <f t="shared" si="273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2"/>
        <v>0</v>
      </c>
      <c r="P659" s="90">
        <f t="shared" si="273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IFERROR(__xludf.DUMMYFUNCTION("IMPORTRANGE(""https://docs.google.com/spreadsheets/d/1QqKyyYR6Q21VydFLVH3TRQUabQu_ym0Zz7PgGX0-kHA/edit?usp=sharing"",""แผน!HV71"")"),12400)</f>
        <v>12400</v>
      </c>
      <c r="M660" s="90">
        <v>0</v>
      </c>
      <c r="N660" s="90">
        <f>N661+N662+N663+N664</f>
        <v>6400</v>
      </c>
      <c r="O660" s="90">
        <f t="shared" ca="1" si="272"/>
        <v>51.612903225806448</v>
      </c>
      <c r="P660" s="90">
        <f t="shared" si="273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6400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6">L666+L667</f>
        <v>0</v>
      </c>
      <c r="M665" s="495">
        <f t="shared" si="276"/>
        <v>0</v>
      </c>
      <c r="N665" s="495">
        <f t="shared" si="276"/>
        <v>0</v>
      </c>
      <c r="O665" s="495">
        <f t="shared" ref="O665:O667" si="277">IF(L665&gt;0,N665*100/L665,0)</f>
        <v>0</v>
      </c>
      <c r="P665" s="495">
        <f t="shared" ref="P665:P667" si="278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7"/>
        <v>0</v>
      </c>
      <c r="P666" s="90">
        <f t="shared" si="278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7"/>
        <v>0</v>
      </c>
      <c r="P667" s="90">
        <f t="shared" si="278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IFERROR(__xludf.DUMMYFUNCTION("IMPORTRANGE(""https://docs.google.com/spreadsheets/d/1QqKyyYR6Q21VydFLVH3TRQUabQu_ym0Zz7PgGX0-kHA/edit?usp=sharing"",""แผน!IA71"")"),100)</f>
        <v>100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IFERROR(__xludf.DUMMYFUNCTION("IMPORTRANGE(""https://docs.google.com/spreadsheets/d/1QqKyyYR6Q21VydFLVH3TRQUabQu_ym0Zz7PgGX0-kHA/edit?usp=sharing"",""แผน!HZ71"")"),4)</f>
        <v>4</v>
      </c>
      <c r="J670" s="210">
        <v>4</v>
      </c>
      <c r="K670" s="495">
        <f ca="1">IF(I670&gt;0,(J670*100)/I670,0)</f>
        <v>100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IFERROR(__xludf.DUMMYFUNCTION("IMPORTRANGE(""https://docs.google.com/spreadsheets/d/1QqKyyYR6Q21VydFLVH3TRQUabQu_ym0Zz7PgGX0-kHA/edit?usp=sharing"",""แผน!HZ71"")"),4)</f>
        <v>4</v>
      </c>
      <c r="J671" s="210">
        <v>4</v>
      </c>
      <c r="K671" s="495">
        <f ca="1">IF(I$671&gt;0,J671*100/I$671,0)</f>
        <v>100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28</v>
      </c>
      <c r="K672" s="495">
        <f t="shared" ref="K672:K675" ca="1" si="279">IF(I$669&gt;0,J672*100/I$669,0)</f>
        <v>28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79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79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79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IFERROR(__xludf.DUMMYFUNCTION("IMPORTRANGE(""https://docs.google.com/spreadsheets/d/1QqKyyYR6Q21VydFLVH3TRQUabQu_ym0Zz7PgGX0-kHA/edit?usp=sharing"",""แผน!IB71"")"),0)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0">L686+L687</f>
        <v>1240</v>
      </c>
      <c r="M685" s="191">
        <f t="shared" si="280"/>
        <v>0</v>
      </c>
      <c r="N685" s="191">
        <f t="shared" si="280"/>
        <v>0</v>
      </c>
      <c r="O685" s="191">
        <f t="shared" ref="O685:O688" ca="1" si="281">IF(L685&gt;0,N685*100/L685,0)</f>
        <v>0</v>
      </c>
      <c r="P685" s="191">
        <f t="shared" ref="P685:P688" si="282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3">L689+L696</f>
        <v>0</v>
      </c>
      <c r="M686" s="90">
        <f t="shared" si="283"/>
        <v>0</v>
      </c>
      <c r="N686" s="90">
        <f t="shared" si="283"/>
        <v>0</v>
      </c>
      <c r="O686" s="90">
        <f t="shared" si="281"/>
        <v>0</v>
      </c>
      <c r="P686" s="90">
        <f t="shared" si="282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3"/>
        <v>1240</v>
      </c>
      <c r="M687" s="90">
        <f t="shared" si="283"/>
        <v>0</v>
      </c>
      <c r="N687" s="90">
        <f t="shared" si="283"/>
        <v>0</v>
      </c>
      <c r="O687" s="90">
        <f t="shared" ca="1" si="281"/>
        <v>0</v>
      </c>
      <c r="P687" s="90">
        <f t="shared" si="282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4">L689+L690</f>
        <v>1240</v>
      </c>
      <c r="M688" s="495">
        <f t="shared" si="284"/>
        <v>0</v>
      </c>
      <c r="N688" s="495">
        <f t="shared" si="284"/>
        <v>0</v>
      </c>
      <c r="O688" s="495">
        <f t="shared" ca="1" si="281"/>
        <v>0</v>
      </c>
      <c r="P688" s="495">
        <f t="shared" si="282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IFERROR(__xludf.DUMMYFUNCTION("IMPORTRANGE(""https://docs.google.com/spreadsheets/d/1QqKyyYR6Q21VydFLVH3TRQUabQu_ym0Zz7PgGX0-kHA/edit?usp=sharing"",""แผน!HW71"")"),1240)</f>
        <v>1240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5">L696+L697</f>
        <v>0</v>
      </c>
      <c r="M695" s="495">
        <f t="shared" si="285"/>
        <v>0</v>
      </c>
      <c r="N695" s="495">
        <f t="shared" si="285"/>
        <v>0</v>
      </c>
      <c r="O695" s="495">
        <f t="shared" ref="O695:O697" si="286">IF(L695&gt;0,N695*100/L695,0)</f>
        <v>0</v>
      </c>
      <c r="P695" s="495">
        <f t="shared" ref="P695:P697" si="287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6"/>
        <v>0</v>
      </c>
      <c r="P696" s="90">
        <f t="shared" si="287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6"/>
        <v>0</v>
      </c>
      <c r="P697" s="90">
        <f t="shared" si="287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IFERROR(__xludf.DUMMYFUNCTION("IMPORTRANGE(""https://docs.google.com/spreadsheets/d/1QqKyyYR6Q21VydFLVH3TRQUabQu_ym0Zz7PgGX0-kHA/edit?usp=sharing"",""แผน!IC71"")"),0)</f>
        <v>0</v>
      </c>
      <c r="J699" s="264">
        <f ca="1">IFERROR(__xludf.DUMMYFUNCTION("IMPORTRANGE(""https://docs.google.com/spreadsheets/d/1XWAQStnk-4SwqDmLtmXYiTMKHgktTP8We1SCoS47DrQ/edit?usp=sharing"",""จัดที่ดิน!BB71"")"),0)</f>
        <v>0</v>
      </c>
      <c r="K699" s="495">
        <f t="shared" ref="K699:K701" ca="1" si="288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IFERROR(__xludf.DUMMYFUNCTION("IMPORTRANGE(""https://docs.google.com/spreadsheets/d/1QqKyyYR6Q21VydFLVH3TRQUabQu_ym0Zz7PgGX0-kHA/edit?usp=sharing"",""แผน!ID71"")"),1)</f>
        <v>1</v>
      </c>
      <c r="J700" s="264">
        <f ca="1">IFERROR(__xludf.DUMMYFUNCTION("IMPORTRANGE(""https://docs.google.com/spreadsheets/d/1XWAQStnk-4SwqDmLtmXYiTMKHgktTP8We1SCoS47DrQ/edit?usp=sharing"",""จัดที่ดิน!BD71"")"),0)</f>
        <v>0</v>
      </c>
      <c r="K700" s="495">
        <f t="shared" ca="1" si="288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IFERROR(__xludf.DUMMYFUNCTION("IMPORTRANGE(""https://docs.google.com/spreadsheets/d/1QqKyyYR6Q21VydFLVH3TRQUabQu_ym0Zz7PgGX0-kHA/edit?usp=sharing"",""แผน!IE71"")"),0)</f>
        <v>0</v>
      </c>
      <c r="J701" s="673">
        <f>J704+J707</f>
        <v>0</v>
      </c>
      <c r="K701" s="191">
        <f t="shared" ca="1" si="288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IFERROR(__xludf.DUMMYFUNCTION("IMPORTRANGE(""https://docs.google.com/spreadsheets/d/1QqKyyYR6Q21VydFLVH3TRQUabQu_ym0Zz7PgGX0-kHA/edit?usp=sharing"",""แผน!IF71"")"),0)</f>
        <v>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IFERROR(__xludf.DUMMYFUNCTION("IMPORTRANGE(""https://docs.google.com/spreadsheets/d/1QqKyyYR6Q21VydFLVH3TRQUabQu_ym0Zz7PgGX0-kHA/edit?usp=sharing"",""แผน!IG71"")"),0)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IFERROR(__xludf.DUMMYFUNCTION("IMPORTRANGE(""https://docs.google.com/spreadsheets/d/1QqKyyYR6Q21VydFLVH3TRQUabQu_ym0Zz7PgGX0-kHA/edit?usp=sharing"",""แผน!IH71"")"),0)</f>
        <v>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IFERROR(__xludf.DUMMYFUNCTION("IMPORTRANGE(""https://docs.google.com/spreadsheets/d/1XWAQStnk-4SwqDmLtmXYiTMKHgktTP8We1SCoS47DrQ/edit?usp=sharing"",""จัดที่ดิน!BF71"")"),0)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IFERROR(__xludf.DUMMYFUNCTION("IMPORTRANGE(""https://docs.google.com/spreadsheets/d/1XWAQStnk-4SwqDmLtmXYiTMKHgktTP8We1SCoS47DrQ/edit?usp=sharing"",""จัดที่ดิน!BG71"")"),0)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IFERROR(__xludf.DUMMYFUNCTION("IMPORTRANGE(""https://docs.google.com/spreadsheets/d/1QqKyyYR6Q21VydFLVH3TRQUabQu_ym0Zz7PgGX0-kHA/edit?usp=sharing"",""แผน!II71"")"),0)</f>
        <v>0</v>
      </c>
      <c r="J720" s="264">
        <f ca="1">IFERROR(__xludf.DUMMYFUNCTION("IMPORTRANGE(""https://docs.google.com/spreadsheets/d/1XWAQStnk-4SwqDmLtmXYiTMKHgktTP8We1SCoS47DrQ/edit?usp=sharing"",""จัดที่ดิน!BH71"")"),0)</f>
        <v>0</v>
      </c>
      <c r="K720" s="495">
        <f t="shared" ref="K720:K723" ca="1" si="289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IFERROR(__xludf.DUMMYFUNCTION("IMPORTRANGE(""https://docs.google.com/spreadsheets/d/1QqKyyYR6Q21VydFLVH3TRQUabQu_ym0Zz7PgGX0-kHA/edit?usp=sharing"",""แผน!IJ71"")"),1)</f>
        <v>1</v>
      </c>
      <c r="J721" s="673">
        <f ca="1">J723+J726</f>
        <v>0</v>
      </c>
      <c r="K721" s="191">
        <f t="shared" ca="1" si="289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IFERROR(__xludf.DUMMYFUNCTION("IMPORTRANGE(""https://docs.google.com/spreadsheets/d/1QqKyyYR6Q21VydFLVH3TRQUabQu_ym0Zz7PgGX0-kHA/edit?usp=sharing"",""แผน!IK71"")"),15)</f>
        <v>15</v>
      </c>
      <c r="J722" s="673">
        <f ca="1">J725+J728</f>
        <v>0</v>
      </c>
      <c r="K722" s="191">
        <f t="shared" ca="1" si="289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IFERROR(__xludf.DUMMYFUNCTION("IMPORTRANGE(""https://docs.google.com/spreadsheets/d/1QqKyyYR6Q21VydFLVH3TRQUabQu_ym0Zz7PgGX0-kHA/edit?usp=sharing"",""แผน!IL71"")"),1)</f>
        <v>1</v>
      </c>
      <c r="J723" s="264">
        <f ca="1">IFERROR(__xludf.DUMMYFUNCTION("IMPORTRANGE(""https://docs.google.com/spreadsheets/d/1XWAQStnk-4SwqDmLtmXYiTMKHgktTP8We1SCoS47DrQ/edit?usp=sharing"",""จัดที่ดิน!BM71"")"),0)</f>
        <v>0</v>
      </c>
      <c r="K723" s="495">
        <f t="shared" ca="1" si="289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IFERROR(__xludf.DUMMYFUNCTION("IMPORTRANGE(""https://docs.google.com/spreadsheets/d/1XWAQStnk-4SwqDmLtmXYiTMKHgktTP8We1SCoS47DrQ/edit?usp=sharing"",""จัดที่ดิน!BN71"")"),0)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IFERROR(__xludf.DUMMYFUNCTION("IMPORTRANGE(""https://docs.google.com/spreadsheets/d/1QqKyyYR6Q21VydFLVH3TRQUabQu_ym0Zz7PgGX0-kHA/edit?usp=sharing"",""แผน!IM71"")"),15)</f>
        <v>15</v>
      </c>
      <c r="J725" s="264">
        <f ca="1">IFERROR(__xludf.DUMMYFUNCTION("IMPORTRANGE(""https://docs.google.com/spreadsheets/d/1XWAQStnk-4SwqDmLtmXYiTMKHgktTP8We1SCoS47DrQ/edit?usp=sharing"",""จัดที่ดิน!BO71"")"),0)</f>
        <v>0</v>
      </c>
      <c r="K725" s="495">
        <f t="shared" ref="K725:K726" ca="1" si="290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IFERROR(__xludf.DUMMYFUNCTION("IMPORTRANGE(""https://docs.google.com/spreadsheets/d/1QqKyyYR6Q21VydFLVH3TRQUabQu_ym0Zz7PgGX0-kHA/edit?usp=sharing"",""แผน!IN71"")"),0)</f>
        <v>0</v>
      </c>
      <c r="J726" s="264">
        <f ca="1">IFERROR(__xludf.DUMMYFUNCTION("IMPORTRANGE(""https://docs.google.com/spreadsheets/d/1XWAQStnk-4SwqDmLtmXYiTMKHgktTP8We1SCoS47DrQ/edit?usp=sharing"",""จัดที่ดิน!BR71"")"),0)</f>
        <v>0</v>
      </c>
      <c r="K726" s="495">
        <f t="shared" ca="1" si="290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IFERROR(__xludf.DUMMYFUNCTION("IMPORTRANGE(""https://docs.google.com/spreadsheets/d/1XWAQStnk-4SwqDmLtmXYiTMKHgktTP8We1SCoS47DrQ/edit?usp=sharing"",""จัดที่ดิน!BS71"")"),0)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IFERROR(__xludf.DUMMYFUNCTION("IMPORTRANGE(""https://docs.google.com/spreadsheets/d/1QqKyyYR6Q21VydFLVH3TRQUabQu_ym0Zz7PgGX0-kHA/edit?usp=sharing"",""แผน!IO71"")"),0)</f>
        <v>0</v>
      </c>
      <c r="J728" s="264">
        <f ca="1">IFERROR(__xludf.DUMMYFUNCTION("IMPORTRANGE(""https://docs.google.com/spreadsheets/d/1XWAQStnk-4SwqDmLtmXYiTMKHgktTP8We1SCoS47DrQ/edit?usp=sharing"",""จัดที่ดิน!BT71"")"),0)</f>
        <v>0</v>
      </c>
      <c r="K728" s="495">
        <f t="shared" ref="K728:K729" ca="1" si="291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IFERROR(__xludf.DUMMYFUNCTION("IMPORTRANGE(""https://docs.google.com/spreadsheets/d/1QqKyyYR6Q21VydFLVH3TRQUabQu_ym0Zz7PgGX0-kHA/edit?usp=sharing"",""แผน!IP71"")"),0)</f>
        <v>0</v>
      </c>
      <c r="J729" s="673">
        <f>J732+J735</f>
        <v>0</v>
      </c>
      <c r="K729" s="191">
        <f t="shared" ca="1" si="291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2">L738+L739</f>
        <v>0</v>
      </c>
      <c r="M737" s="639">
        <f t="shared" si="292"/>
        <v>0</v>
      </c>
      <c r="N737" s="639">
        <f t="shared" si="292"/>
        <v>0</v>
      </c>
      <c r="O737" s="639">
        <f t="shared" ref="O737:O742" si="293">IF(L737&gt;0,N737*100/L737,0)</f>
        <v>0</v>
      </c>
      <c r="P737" s="639">
        <f t="shared" ref="P737:P742" si="294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5">L741+L748</f>
        <v>0</v>
      </c>
      <c r="M738" s="90">
        <f t="shared" si="295"/>
        <v>0</v>
      </c>
      <c r="N738" s="90">
        <f t="shared" si="295"/>
        <v>0</v>
      </c>
      <c r="O738" s="90">
        <f t="shared" si="293"/>
        <v>0</v>
      </c>
      <c r="P738" s="90">
        <f t="shared" si="294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5"/>
        <v>0</v>
      </c>
      <c r="M739" s="90">
        <f t="shared" si="295"/>
        <v>0</v>
      </c>
      <c r="N739" s="90">
        <f t="shared" si="295"/>
        <v>0</v>
      </c>
      <c r="O739" s="90">
        <f t="shared" si="293"/>
        <v>0</v>
      </c>
      <c r="P739" s="90">
        <f t="shared" si="294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6">L741+L742</f>
        <v>0</v>
      </c>
      <c r="M740" s="639">
        <f t="shared" si="296"/>
        <v>0</v>
      </c>
      <c r="N740" s="639">
        <f t="shared" si="296"/>
        <v>0</v>
      </c>
      <c r="O740" s="639">
        <f t="shared" si="293"/>
        <v>0</v>
      </c>
      <c r="P740" s="639">
        <f t="shared" si="294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3"/>
        <v>0</v>
      </c>
      <c r="P741" s="90">
        <f t="shared" si="294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3"/>
        <v>0</v>
      </c>
      <c r="P742" s="90">
        <f t="shared" si="294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7">L748+L749</f>
        <v>0</v>
      </c>
      <c r="M747" s="639">
        <f t="shared" si="297"/>
        <v>0</v>
      </c>
      <c r="N747" s="639">
        <f t="shared" si="297"/>
        <v>0</v>
      </c>
      <c r="O747" s="639">
        <f t="shared" ref="O747:O749" si="298">IF(L747&gt;0,N747*100/L747,0)</f>
        <v>0</v>
      </c>
      <c r="P747" s="639">
        <f t="shared" ref="P747:P749" si="299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8"/>
        <v>0</v>
      </c>
      <c r="P748" s="90">
        <f t="shared" si="299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8"/>
        <v>0</v>
      </c>
      <c r="P749" s="90">
        <f t="shared" si="299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0">L755+L756</f>
        <v>0</v>
      </c>
      <c r="M754" s="639">
        <f t="shared" si="300"/>
        <v>0</v>
      </c>
      <c r="N754" s="639">
        <f t="shared" si="300"/>
        <v>0</v>
      </c>
      <c r="O754" s="639">
        <f t="shared" ref="O754:O759" si="301">IF(L754&gt;0,N754*100/L754,0)</f>
        <v>0</v>
      </c>
      <c r="P754" s="639">
        <f t="shared" ref="P754:P759" si="302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3">L758+L765</f>
        <v>0</v>
      </c>
      <c r="M755" s="90">
        <f t="shared" si="303"/>
        <v>0</v>
      </c>
      <c r="N755" s="90">
        <f t="shared" si="303"/>
        <v>0</v>
      </c>
      <c r="O755" s="90">
        <f t="shared" si="301"/>
        <v>0</v>
      </c>
      <c r="P755" s="90">
        <f t="shared" si="302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3"/>
        <v>0</v>
      </c>
      <c r="M756" s="90">
        <f t="shared" si="303"/>
        <v>0</v>
      </c>
      <c r="N756" s="90">
        <f t="shared" si="303"/>
        <v>0</v>
      </c>
      <c r="O756" s="90">
        <f t="shared" si="301"/>
        <v>0</v>
      </c>
      <c r="P756" s="90">
        <f t="shared" si="302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4">L758+L759</f>
        <v>0</v>
      </c>
      <c r="M757" s="639">
        <f t="shared" si="304"/>
        <v>0</v>
      </c>
      <c r="N757" s="639">
        <f t="shared" si="304"/>
        <v>0</v>
      </c>
      <c r="O757" s="639">
        <f t="shared" si="301"/>
        <v>0</v>
      </c>
      <c r="P757" s="639">
        <f t="shared" si="302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1"/>
        <v>0</v>
      </c>
      <c r="P758" s="90">
        <f t="shared" si="302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1"/>
        <v>0</v>
      </c>
      <c r="P759" s="90">
        <f t="shared" si="302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5">L765+L766</f>
        <v>0</v>
      </c>
      <c r="M764" s="639">
        <f t="shared" si="305"/>
        <v>0</v>
      </c>
      <c r="N764" s="639">
        <f t="shared" si="305"/>
        <v>0</v>
      </c>
      <c r="O764" s="639">
        <f t="shared" ref="O764:O766" si="306">IF(L764&gt;0,N764*100/L764,0)</f>
        <v>0</v>
      </c>
      <c r="P764" s="639">
        <f t="shared" ref="P764:P766" si="307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6"/>
        <v>0</v>
      </c>
      <c r="P765" s="90">
        <f t="shared" si="307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6"/>
        <v>0</v>
      </c>
      <c r="P766" s="90">
        <f t="shared" si="307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8">L771+L772</f>
        <v>0</v>
      </c>
      <c r="M770" s="639">
        <f t="shared" si="308"/>
        <v>0</v>
      </c>
      <c r="N770" s="639">
        <f t="shared" si="308"/>
        <v>0</v>
      </c>
      <c r="O770" s="639">
        <f t="shared" ref="O770:O775" si="309">IF(L770&gt;0,N770*100/L770,0)</f>
        <v>0</v>
      </c>
      <c r="P770" s="639">
        <f t="shared" ref="P770:P775" si="310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1">L774+L781</f>
        <v>0</v>
      </c>
      <c r="M771" s="90">
        <f t="shared" si="311"/>
        <v>0</v>
      </c>
      <c r="N771" s="90">
        <f t="shared" si="311"/>
        <v>0</v>
      </c>
      <c r="O771" s="90">
        <f t="shared" si="309"/>
        <v>0</v>
      </c>
      <c r="P771" s="90">
        <f t="shared" si="310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1"/>
        <v>0</v>
      </c>
      <c r="M772" s="90">
        <f t="shared" si="311"/>
        <v>0</v>
      </c>
      <c r="N772" s="90">
        <f t="shared" si="311"/>
        <v>0</v>
      </c>
      <c r="O772" s="90">
        <f t="shared" si="309"/>
        <v>0</v>
      </c>
      <c r="P772" s="90">
        <f t="shared" si="310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2">L774+L775</f>
        <v>0</v>
      </c>
      <c r="M773" s="639">
        <f t="shared" si="312"/>
        <v>0</v>
      </c>
      <c r="N773" s="639">
        <f t="shared" si="312"/>
        <v>0</v>
      </c>
      <c r="O773" s="639">
        <f t="shared" si="309"/>
        <v>0</v>
      </c>
      <c r="P773" s="639">
        <f t="shared" si="310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09"/>
        <v>0</v>
      </c>
      <c r="P774" s="90">
        <f t="shared" si="310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09"/>
        <v>0</v>
      </c>
      <c r="P775" s="90">
        <f t="shared" si="310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3">L781+L782</f>
        <v>0</v>
      </c>
      <c r="M780" s="639">
        <f t="shared" si="313"/>
        <v>0</v>
      </c>
      <c r="N780" s="639">
        <f t="shared" si="313"/>
        <v>0</v>
      </c>
      <c r="O780" s="639">
        <f t="shared" ref="O780:O782" si="314">IF(L780&gt;0,N780*100/L780,0)</f>
        <v>0</v>
      </c>
      <c r="P780" s="639">
        <f t="shared" ref="P780:P782" si="315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4"/>
        <v>0</v>
      </c>
      <c r="P781" s="90">
        <f t="shared" si="315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4"/>
        <v>0</v>
      </c>
      <c r="P782" s="90">
        <f t="shared" si="315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6">I800</f>
        <v>0</v>
      </c>
      <c r="J785" s="798">
        <f t="shared" ca="1" si="316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7">L787+L788</f>
        <v>0</v>
      </c>
      <c r="M786" s="191">
        <f t="shared" si="317"/>
        <v>0</v>
      </c>
      <c r="N786" s="191">
        <f t="shared" si="317"/>
        <v>0</v>
      </c>
      <c r="O786" s="191">
        <f t="shared" ref="O786:O791" ca="1" si="318">IF(L786&gt;0,N786*100/L786,0)</f>
        <v>0</v>
      </c>
      <c r="P786" s="191">
        <f t="shared" ref="P786:P791" si="319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0">L790+L797</f>
        <v>0</v>
      </c>
      <c r="M787" s="90">
        <f t="shared" si="320"/>
        <v>0</v>
      </c>
      <c r="N787" s="90">
        <f t="shared" si="320"/>
        <v>0</v>
      </c>
      <c r="O787" s="90">
        <f t="shared" si="318"/>
        <v>0</v>
      </c>
      <c r="P787" s="90">
        <f t="shared" si="319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0"/>
        <v>0</v>
      </c>
      <c r="M788" s="90">
        <f t="shared" si="320"/>
        <v>0</v>
      </c>
      <c r="N788" s="90">
        <f t="shared" si="320"/>
        <v>0</v>
      </c>
      <c r="O788" s="90">
        <f t="shared" ca="1" si="318"/>
        <v>0</v>
      </c>
      <c r="P788" s="90">
        <f t="shared" si="319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1">L790+L791</f>
        <v>0</v>
      </c>
      <c r="M789" s="495">
        <f t="shared" si="321"/>
        <v>0</v>
      </c>
      <c r="N789" s="495">
        <f t="shared" si="321"/>
        <v>0</v>
      </c>
      <c r="O789" s="495">
        <f t="shared" ca="1" si="318"/>
        <v>0</v>
      </c>
      <c r="P789" s="495">
        <f t="shared" si="319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8"/>
        <v>0</v>
      </c>
      <c r="P790" s="90">
        <f t="shared" si="319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IFERROR(__xludf.DUMMYFUNCTION("IMPORTRANGE(""https://docs.google.com/spreadsheets/d/1QqKyyYR6Q21VydFLVH3TRQUabQu_ym0Zz7PgGX0-kHA/edit?usp=sharing"",""แผน!JJ71"")"),0)</f>
        <v>0</v>
      </c>
      <c r="M791" s="90">
        <v>0</v>
      </c>
      <c r="N791" s="90">
        <f>N792+N793+N794+N795</f>
        <v>0</v>
      </c>
      <c r="O791" s="90">
        <f t="shared" ca="1" si="318"/>
        <v>0</v>
      </c>
      <c r="P791" s="90">
        <f t="shared" si="319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2">L797+L798</f>
        <v>0</v>
      </c>
      <c r="M796" s="495">
        <f t="shared" si="322"/>
        <v>0</v>
      </c>
      <c r="N796" s="495">
        <f t="shared" si="322"/>
        <v>0</v>
      </c>
      <c r="O796" s="495">
        <f t="shared" ref="O796:O798" si="323">IF(L796&gt;0,N796*100/L796,0)</f>
        <v>0</v>
      </c>
      <c r="P796" s="495">
        <f t="shared" ref="P796:P798" si="324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3"/>
        <v>0</v>
      </c>
      <c r="P797" s="90">
        <f t="shared" si="324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3"/>
        <v>0</v>
      </c>
      <c r="P798" s="90">
        <f t="shared" si="324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IFERROR(__xludf.DUMMYFUNCTION("IMPORTRANGE(""https://docs.google.com/spreadsheets/d/1QqKyyYR6Q21VydFLVH3TRQUabQu_ym0Zz7PgGX0-kHA/edit?usp=sharing"",""แผน!JN71"")"),0)</f>
        <v>0</v>
      </c>
      <c r="J800" s="180">
        <f ca="1">IFERROR(__xludf.DUMMYFUNCTION("IMPORTRANGE(""https://docs.google.com/spreadsheets/d/1MaWodYyGHDf7siQLGxnXhG4mBNTNIuy296niS2xXulU/edit?usp=sharing"",""RTK!H71"")"),0)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IFERROR(__xludf.DUMMYFUNCTION("IMPORTRANGE(""https://docs.google.com/spreadsheets/d/1MaWodYyGHDf7siQLGxnXhG4mBNTNIuy296niS2xXulU/edit?usp=sharing"",""RTK!I71"")"),0)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5">L806+L807</f>
        <v>0</v>
      </c>
      <c r="M805" s="639">
        <f t="shared" si="325"/>
        <v>0</v>
      </c>
      <c r="N805" s="639">
        <f t="shared" si="325"/>
        <v>0</v>
      </c>
      <c r="O805" s="639">
        <f t="shared" ref="O805:O810" si="326">IF(L805&gt;0,N805*100/L805,0)</f>
        <v>0</v>
      </c>
      <c r="P805" s="639">
        <f t="shared" ref="P805:P810" si="327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8">L809+L816</f>
        <v>0</v>
      </c>
      <c r="M806" s="90">
        <f t="shared" si="328"/>
        <v>0</v>
      </c>
      <c r="N806" s="90">
        <f t="shared" si="328"/>
        <v>0</v>
      </c>
      <c r="O806" s="90">
        <f t="shared" si="326"/>
        <v>0</v>
      </c>
      <c r="P806" s="90">
        <f t="shared" si="327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8"/>
        <v>0</v>
      </c>
      <c r="M807" s="90">
        <f t="shared" si="328"/>
        <v>0</v>
      </c>
      <c r="N807" s="90">
        <f t="shared" si="328"/>
        <v>0</v>
      </c>
      <c r="O807" s="90">
        <f t="shared" si="326"/>
        <v>0</v>
      </c>
      <c r="P807" s="90">
        <f t="shared" si="327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29">L809+L810</f>
        <v>0</v>
      </c>
      <c r="M808" s="639">
        <f t="shared" si="329"/>
        <v>0</v>
      </c>
      <c r="N808" s="639">
        <f t="shared" si="329"/>
        <v>0</v>
      </c>
      <c r="O808" s="639">
        <f t="shared" si="326"/>
        <v>0</v>
      </c>
      <c r="P808" s="639">
        <f t="shared" si="327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6"/>
        <v>0</v>
      </c>
      <c r="P809" s="90">
        <f t="shared" si="327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6"/>
        <v>0</v>
      </c>
      <c r="P810" s="90">
        <f t="shared" si="327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0">L816+L817</f>
        <v>0</v>
      </c>
      <c r="M815" s="639">
        <f t="shared" si="330"/>
        <v>0</v>
      </c>
      <c r="N815" s="639">
        <f t="shared" si="330"/>
        <v>0</v>
      </c>
      <c r="O815" s="639">
        <f t="shared" ref="O815:O817" si="331">IF(L815&gt;0,N815*100/L815,0)</f>
        <v>0</v>
      </c>
      <c r="P815" s="639">
        <f t="shared" ref="P815:P817" si="332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1"/>
        <v>0</v>
      </c>
      <c r="P816" s="90">
        <f t="shared" si="332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1"/>
        <v>0</v>
      </c>
      <c r="P817" s="90">
        <f t="shared" si="332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IFERROR(__xludf.DUMMYFUNCTION("IMPORTRANGE(""https://docs.google.com/spreadsheets/d/19vJNZY_5yjcGF2XGBMNZRCAIB0Kwfpjp8YEOfu-bneM/edit?usp=sharing"",""งานกองทุน!D71"")"),580000)</f>
        <v>580000</v>
      </c>
      <c r="J821" s="264">
        <f ca="1">IFERROR(__xludf.DUMMYFUNCTION("IMPORTRANGE(""https://docs.google.com/spreadsheets/d/19vJNZY_5yjcGF2XGBMNZRCAIB0Kwfpjp8YEOfu-bneM/edit?usp=sharing"",""งานกองทุน!F71"")"),0)</f>
        <v>0</v>
      </c>
      <c r="K821" s="495">
        <f t="shared" ref="K821:K828" ca="1" si="333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IFERROR(__xludf.DUMMYFUNCTION("IMPORTRANGE(""https://docs.google.com/spreadsheets/d/19vJNZY_5yjcGF2XGBMNZRCAIB0Kwfpjp8YEOfu-bneM/edit?usp=sharing"",""งานกองทุน!C71"")"),20)</f>
        <v>20</v>
      </c>
      <c r="J822" s="264">
        <f ca="1">IFERROR(__xludf.DUMMYFUNCTION("IMPORTRANGE(""https://docs.google.com/spreadsheets/d/19vJNZY_5yjcGF2XGBMNZRCAIB0Kwfpjp8YEOfu-bneM/edit?usp=sharing"",""งานกองทุน!E71"")"),0)</f>
        <v>0</v>
      </c>
      <c r="K822" s="495">
        <f t="shared" ca="1" si="333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IFERROR(__xludf.DUMMYFUNCTION("IMPORTRANGE(""https://docs.google.com/spreadsheets/d/19vJNZY_5yjcGF2XGBMNZRCAIB0Kwfpjp8YEOfu-bneM/edit?usp=sharing"",""งานกองทุน!I71"")"),0)</f>
        <v>0</v>
      </c>
      <c r="J823" s="264">
        <f ca="1">IFERROR(__xludf.DUMMYFUNCTION("IMPORTRANGE(""https://docs.google.com/spreadsheets/d/19vJNZY_5yjcGF2XGBMNZRCAIB0Kwfpjp8YEOfu-bneM/edit?usp=sharing"",""งานกองทุน!K71"")"),0)</f>
        <v>0</v>
      </c>
      <c r="K823" s="495">
        <f t="shared" ca="1" si="333"/>
        <v>0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IFERROR(__xludf.DUMMYFUNCTION("IMPORTRANGE(""https://docs.google.com/spreadsheets/d/19vJNZY_5yjcGF2XGBMNZRCAIB0Kwfpjp8YEOfu-bneM/edit?usp=sharing"",""งานกองทุน!H71"")"),0)</f>
        <v>0</v>
      </c>
      <c r="J824" s="264">
        <f ca="1">IFERROR(__xludf.DUMMYFUNCTION("IMPORTRANGE(""https://docs.google.com/spreadsheets/d/19vJNZY_5yjcGF2XGBMNZRCAIB0Kwfpjp8YEOfu-bneM/edit?usp=sharing"",""งานกองทุน!J71"")"),0)</f>
        <v>0</v>
      </c>
      <c r="K824" s="495">
        <f t="shared" ca="1" si="333"/>
        <v>0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IFERROR(__xludf.DUMMYFUNCTION("IMPORTRANGE(""https://docs.google.com/spreadsheets/d/19vJNZY_5yjcGF2XGBMNZRCAIB0Kwfpjp8YEOfu-bneM/edit?usp=sharing"",""งานกองทุน!N71"")"),38110.36)</f>
        <v>38110.36</v>
      </c>
      <c r="J825" s="264">
        <f ca="1">IFERROR(__xludf.DUMMYFUNCTION("IMPORTRANGE(""https://docs.google.com/spreadsheets/d/19vJNZY_5yjcGF2XGBMNZRCAIB0Kwfpjp8YEOfu-bneM/edit?usp=sharing"",""งานกองทุน!P71"")"),0)</f>
        <v>0</v>
      </c>
      <c r="K825" s="495">
        <f t="shared" ca="1" si="333"/>
        <v>0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IFERROR(__xludf.DUMMYFUNCTION("IMPORTRANGE(""https://docs.google.com/spreadsheets/d/19vJNZY_5yjcGF2XGBMNZRCAIB0Kwfpjp8YEOfu-bneM/edit?usp=sharing"",""งานกองทุน!M71"")"),8)</f>
        <v>8</v>
      </c>
      <c r="J826" s="264">
        <f ca="1">IFERROR(__xludf.DUMMYFUNCTION("IMPORTRANGE(""https://docs.google.com/spreadsheets/d/19vJNZY_5yjcGF2XGBMNZRCAIB0Kwfpjp8YEOfu-bneM/edit?usp=sharing"",""งานกองทุน!O71"")"),0)</f>
        <v>0</v>
      </c>
      <c r="K826" s="495">
        <f t="shared" ca="1" si="333"/>
        <v>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IFERROR(__xludf.DUMMYFUNCTION("IMPORTRANGE(""https://docs.google.com/spreadsheets/d/19vJNZY_5yjcGF2XGBMNZRCAIB0Kwfpjp8YEOfu-bneM/edit?usp=sharing"",""งานกองทุน!S71"")"),560000)</f>
        <v>560000</v>
      </c>
      <c r="J827" s="264">
        <f ca="1">IFERROR(__xludf.DUMMYFUNCTION("IMPORTRANGE(""https://docs.google.com/spreadsheets/d/19vJNZY_5yjcGF2XGBMNZRCAIB0Kwfpjp8YEOfu-bneM/edit?usp=sharing"",""งานกองทุน!U71"")"),0)</f>
        <v>0</v>
      </c>
      <c r="K827" s="495">
        <f t="shared" ca="1" si="333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IFERROR(__xludf.DUMMYFUNCTION("IMPORTRANGE(""https://docs.google.com/spreadsheets/d/19vJNZY_5yjcGF2XGBMNZRCAIB0Kwfpjp8YEOfu-bneM/edit?usp=sharing"",""งานกองทุน!R71"")"),19)</f>
        <v>19</v>
      </c>
      <c r="J828" s="498">
        <f ca="1">IFERROR(__xludf.DUMMYFUNCTION("IMPORTRANGE(""https://docs.google.com/spreadsheets/d/19vJNZY_5yjcGF2XGBMNZRCAIB0Kwfpjp8YEOfu-bneM/edit?usp=sharing"",""งานกองทุน!T71"")"),56)</f>
        <v>56</v>
      </c>
      <c r="K828" s="499">
        <f t="shared" ca="1" si="333"/>
        <v>294.73684210526318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71B5-BB3F-4189-B578-494F2F2895E5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3" sqref="A3:P3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4.4257812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357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19.5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6152998</v>
      </c>
      <c r="M8" s="21">
        <f t="shared" ca="1" si="0"/>
        <v>2360360</v>
      </c>
      <c r="N8" s="21">
        <f t="shared" ca="1" si="0"/>
        <v>1055642.3999999999</v>
      </c>
      <c r="O8" s="21">
        <f t="shared" ref="O8:O16" ca="1" si="1">IF(L8&gt;0,N8*100/L8,0)</f>
        <v>17.156553602000194</v>
      </c>
      <c r="P8" s="21">
        <f t="shared" ref="P8:P16" ca="1" si="2">IF(M8&gt;0,N8*100/M8,0)</f>
        <v>44.723787896761507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6152998</v>
      </c>
      <c r="M10" s="29">
        <f t="shared" ca="1" si="3"/>
        <v>2360360</v>
      </c>
      <c r="N10" s="29">
        <f t="shared" ca="1" si="3"/>
        <v>1055642.3999999999</v>
      </c>
      <c r="O10" s="29">
        <f t="shared" ca="1" si="1"/>
        <v>17.156553602000194</v>
      </c>
      <c r="P10" s="29">
        <f t="shared" ca="1" si="2"/>
        <v>44.723787896761507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5868898</v>
      </c>
      <c r="M11" s="495">
        <f t="shared" ca="1" si="4"/>
        <v>2088860</v>
      </c>
      <c r="N11" s="495">
        <f t="shared" ca="1" si="4"/>
        <v>784142.4</v>
      </c>
      <c r="O11" s="495">
        <f t="shared" ca="1" si="1"/>
        <v>13.360981908358264</v>
      </c>
      <c r="P11" s="495">
        <f t="shared" ca="1" si="2"/>
        <v>37.539251074748904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5868898</v>
      </c>
      <c r="M13" s="90">
        <f t="shared" ca="1" si="5"/>
        <v>2088860</v>
      </c>
      <c r="N13" s="90">
        <f t="shared" ca="1" si="5"/>
        <v>784142.4</v>
      </c>
      <c r="O13" s="90">
        <f t="shared" ca="1" si="1"/>
        <v>13.360981908358264</v>
      </c>
      <c r="P13" s="90">
        <f t="shared" ca="1" si="2"/>
        <v>37.539251074748904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284100</v>
      </c>
      <c r="M14" s="495">
        <f t="shared" ca="1" si="6"/>
        <v>271500</v>
      </c>
      <c r="N14" s="495">
        <f t="shared" ca="1" si="6"/>
        <v>271500</v>
      </c>
      <c r="O14" s="495">
        <f t="shared" ca="1" si="1"/>
        <v>95.564941921858505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284100</v>
      </c>
      <c r="M16" s="51">
        <f t="shared" ca="1" si="7"/>
        <v>271500</v>
      </c>
      <c r="N16" s="51">
        <f t="shared" ca="1" si="7"/>
        <v>271500</v>
      </c>
      <c r="O16" s="51">
        <f t="shared" ca="1" si="1"/>
        <v>95.564941921858505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4523650</v>
      </c>
      <c r="M18" s="21">
        <f t="shared" ca="1" si="8"/>
        <v>2360360</v>
      </c>
      <c r="N18" s="21">
        <f t="shared" ca="1" si="8"/>
        <v>1055642.3999999999</v>
      </c>
      <c r="O18" s="21">
        <f t="shared" ref="O18:O26" ca="1" si="9">IF(L18&gt;0,N18*100/L18,0)</f>
        <v>23.33607595636267</v>
      </c>
      <c r="P18" s="21">
        <f t="shared" ref="P18:P26" ca="1" si="10">IF(M18&gt;0,N18*100/M18,0)</f>
        <v>44.723787896761507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4523650</v>
      </c>
      <c r="M20" s="29">
        <f t="shared" ca="1" si="11"/>
        <v>2360360</v>
      </c>
      <c r="N20" s="29">
        <f t="shared" ca="1" si="11"/>
        <v>1055642.3999999999</v>
      </c>
      <c r="O20" s="29">
        <f t="shared" ca="1" si="9"/>
        <v>23.33607595636267</v>
      </c>
      <c r="P20" s="29">
        <f t="shared" ca="1" si="10"/>
        <v>44.723787896761507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4239550</v>
      </c>
      <c r="M21" s="495">
        <f t="shared" ca="1" si="12"/>
        <v>2088860</v>
      </c>
      <c r="N21" s="495">
        <f t="shared" ca="1" si="12"/>
        <v>784142.4</v>
      </c>
      <c r="O21" s="495">
        <f t="shared" ca="1" si="9"/>
        <v>18.495887535233692</v>
      </c>
      <c r="P21" s="495">
        <f t="shared" ca="1" si="10"/>
        <v>37.539251074748904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4239550</v>
      </c>
      <c r="M23" s="90">
        <f t="shared" ca="1" si="13"/>
        <v>2088860</v>
      </c>
      <c r="N23" s="90">
        <f t="shared" ca="1" si="13"/>
        <v>784142.4</v>
      </c>
      <c r="O23" s="90">
        <f t="shared" ca="1" si="9"/>
        <v>18.495887535233692</v>
      </c>
      <c r="P23" s="90">
        <f t="shared" ca="1" si="10"/>
        <v>37.539251074748904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284100</v>
      </c>
      <c r="M24" s="495">
        <f t="shared" ca="1" si="14"/>
        <v>271500</v>
      </c>
      <c r="N24" s="495">
        <f t="shared" ca="1" si="14"/>
        <v>271500</v>
      </c>
      <c r="O24" s="495">
        <f t="shared" ca="1" si="9"/>
        <v>95.564941921858505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284100</v>
      </c>
      <c r="M26" s="51">
        <f t="shared" ca="1" si="15"/>
        <v>271500</v>
      </c>
      <c r="N26" s="51">
        <f t="shared" ca="1" si="15"/>
        <v>271500</v>
      </c>
      <c r="O26" s="51">
        <f t="shared" ca="1" si="9"/>
        <v>95.564941921858505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1629348</v>
      </c>
      <c r="M28" s="21">
        <f t="shared" si="16"/>
        <v>0</v>
      </c>
      <c r="N28" s="21">
        <f t="shared" si="16"/>
        <v>0</v>
      </c>
      <c r="O28" s="21">
        <f t="shared" ref="O28:O37" ca="1" si="17">IF(L28&gt;0,N28*100/L28,0)</f>
        <v>0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1629348</v>
      </c>
      <c r="M30" s="29">
        <f t="shared" si="19"/>
        <v>0</v>
      </c>
      <c r="N30" s="29">
        <f t="shared" si="19"/>
        <v>0</v>
      </c>
      <c r="O30" s="29">
        <f t="shared" ca="1" si="17"/>
        <v>0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1629348</v>
      </c>
      <c r="M31" s="495">
        <f t="shared" si="20"/>
        <v>0</v>
      </c>
      <c r="N31" s="495">
        <f t="shared" si="20"/>
        <v>0</v>
      </c>
      <c r="O31" s="495">
        <f t="shared" ca="1" si="17"/>
        <v>0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1629348</v>
      </c>
      <c r="M33" s="90">
        <f t="shared" si="21"/>
        <v>0</v>
      </c>
      <c r="N33" s="90">
        <f t="shared" si="21"/>
        <v>0</v>
      </c>
      <c r="O33" s="90">
        <f t="shared" ca="1" si="17"/>
        <v>0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4523650</v>
      </c>
      <c r="M37" s="57">
        <f t="shared" ca="1" si="24"/>
        <v>2360360</v>
      </c>
      <c r="N37" s="57">
        <f t="shared" ca="1" si="24"/>
        <v>1055642.3999999999</v>
      </c>
      <c r="O37" s="57">
        <f t="shared" ca="1" si="17"/>
        <v>23.33607595636267</v>
      </c>
      <c r="P37" s="57">
        <f t="shared" ca="1" si="18"/>
        <v>44.723787896761507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801350</v>
      </c>
      <c r="M41" s="82">
        <f t="shared" ca="1" si="25"/>
        <v>401350</v>
      </c>
      <c r="N41" s="82">
        <f t="shared" ca="1" si="25"/>
        <v>181143</v>
      </c>
      <c r="O41" s="82">
        <f t="shared" ref="O41:O49" ca="1" si="26">IF(L41&gt;0,N41*100/L41,0)</f>
        <v>22.604729518936793</v>
      </c>
      <c r="P41" s="82">
        <f t="shared" ref="P41:P49" ca="1" si="27">IF(M41&gt;0,N41*100/M41,0)</f>
        <v>45.133424691665631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801350</v>
      </c>
      <c r="M43" s="89">
        <f t="shared" ca="1" si="28"/>
        <v>401350</v>
      </c>
      <c r="N43" s="89">
        <f t="shared" ca="1" si="28"/>
        <v>181143</v>
      </c>
      <c r="O43" s="89">
        <f t="shared" ca="1" si="26"/>
        <v>22.604729518936793</v>
      </c>
      <c r="P43" s="89">
        <f t="shared" ca="1" si="27"/>
        <v>45.133424691665631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801350</v>
      </c>
      <c r="M44" s="495">
        <f t="shared" ca="1" si="29"/>
        <v>401350</v>
      </c>
      <c r="N44" s="495">
        <f t="shared" ca="1" si="29"/>
        <v>181143</v>
      </c>
      <c r="O44" s="495">
        <f t="shared" ca="1" si="26"/>
        <v>22.604729518936793</v>
      </c>
      <c r="P44" s="495">
        <f t="shared" ca="1" si="27"/>
        <v>45.133424691665631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IFERROR(__xludf.DUMMYFUNCTION("IMPORTRANGE(""https://docs.google.com/spreadsheets/d/1MeEWN-I1oV_STSDYn1IFDPWt_1FKiwhDph83XaGc0o0/edit?usp=sharing"",""งบพรบ!M72"")"),801350)</f>
        <v>801350</v>
      </c>
      <c r="M46" s="90">
        <f ca="1">IFERROR(__xludf.DUMMYFUNCTION("IMPORTRANGE(""https://docs.google.com/spreadsheets/d/1MeEWN-I1oV_STSDYn1IFDPWt_1FKiwhDph83XaGc0o0/edit?usp=sharing"",""งบพรบ!R72"")"),401350)</f>
        <v>401350</v>
      </c>
      <c r="N46" s="90">
        <f ca="1">IFERROR(__xludf.DUMMYFUNCTION("IMPORTRANGE(""https://docs.google.com/spreadsheets/d/1MeEWN-I1oV_STSDYn1IFDPWt_1FKiwhDph83XaGc0o0/edit?usp=sharing"",""งบพรบ!T72"")"),181143)</f>
        <v>181143</v>
      </c>
      <c r="O46" s="90">
        <f t="shared" ca="1" si="26"/>
        <v>22.604729518936793</v>
      </c>
      <c r="P46" s="90">
        <f t="shared" ca="1" si="27"/>
        <v>45.133424691665631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IFERROR(__xludf.DUMMYFUNCTION("IMPORTRANGE(""https://docs.google.com/spreadsheets/d/1MeEWN-I1oV_STSDYn1IFDPWt_1FKiwhDph83XaGc0o0/edit?usp=sharing"",""งบพรบ!P72"")"),0)</f>
        <v>0</v>
      </c>
      <c r="M49" s="51">
        <f ca="1">IFERROR(__xludf.DUMMYFUNCTION("IMPORTRANGE(""https://docs.google.com/spreadsheets/d/1MeEWN-I1oV_STSDYn1IFDPWt_1FKiwhDph83XaGc0o0/edit?usp=sharing"",""งบพรบ!S72"")"),0)</f>
        <v>0</v>
      </c>
      <c r="N49" s="51">
        <f ca="1">IFERROR(__xludf.DUMMYFUNCTION("IMPORTRANGE(""https://docs.google.com/spreadsheets/d/1MeEWN-I1oV_STSDYn1IFDPWt_1FKiwhDph83XaGc0o0/edit?usp=sharing"",""งบพรบ!U72"")"),0)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993400</v>
      </c>
      <c r="M53" s="112">
        <f t="shared" ca="1" si="31"/>
        <v>554350</v>
      </c>
      <c r="N53" s="112">
        <f t="shared" ca="1" si="31"/>
        <v>391264.24</v>
      </c>
      <c r="O53" s="112">
        <f t="shared" ref="O53:O61" ca="1" si="32">IF(L53&gt;0,N53*100/L53,0)</f>
        <v>39.386374068854437</v>
      </c>
      <c r="P53" s="112">
        <f t="shared" ref="P53:P61" ca="1" si="33">IF(M53&gt;0,N53*100/M53,0)</f>
        <v>70.580723369712274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993400</v>
      </c>
      <c r="M55" s="119">
        <f t="shared" ca="1" si="34"/>
        <v>554350</v>
      </c>
      <c r="N55" s="119">
        <f t="shared" ca="1" si="34"/>
        <v>391264.24</v>
      </c>
      <c r="O55" s="119">
        <f t="shared" ca="1" si="32"/>
        <v>39.386374068854437</v>
      </c>
      <c r="P55" s="119">
        <f t="shared" ca="1" si="33"/>
        <v>70.580723369712274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852900</v>
      </c>
      <c r="M56" s="495">
        <f t="shared" ca="1" si="35"/>
        <v>426450</v>
      </c>
      <c r="N56" s="495">
        <f t="shared" ca="1" si="35"/>
        <v>263364.24</v>
      </c>
      <c r="O56" s="495">
        <f t="shared" ca="1" si="32"/>
        <v>30.878677453394303</v>
      </c>
      <c r="P56" s="495">
        <f t="shared" ca="1" si="33"/>
        <v>61.757354906788606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IFERROR(__xludf.DUMMYFUNCTION("IMPORTRANGE(""https://docs.google.com/spreadsheets/d/1MeEWN-I1oV_STSDYn1IFDPWt_1FKiwhDph83XaGc0o0/edit?usp=sharing"",""งบพรบ!W72"")"),852900)</f>
        <v>852900</v>
      </c>
      <c r="M58" s="90">
        <f ca="1">IFERROR(__xludf.DUMMYFUNCTION("IMPORTRANGE(""https://docs.google.com/spreadsheets/d/1MeEWN-I1oV_STSDYn1IFDPWt_1FKiwhDph83XaGc0o0/edit?usp=sharing"",""งบพรบ!AB72"")"),426450)</f>
        <v>426450</v>
      </c>
      <c r="N58" s="90">
        <f ca="1">IFERROR(__xludf.DUMMYFUNCTION("IMPORTRANGE(""https://docs.google.com/spreadsheets/d/1MeEWN-I1oV_STSDYn1IFDPWt_1FKiwhDph83XaGc0o0/edit?usp=sharing"",""งบพรบ!AD72"")"),263364.24)</f>
        <v>263364.24</v>
      </c>
      <c r="O58" s="90">
        <f t="shared" ca="1" si="32"/>
        <v>30.878677453394303</v>
      </c>
      <c r="P58" s="90">
        <f t="shared" ca="1" si="33"/>
        <v>61.757354906788606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140500</v>
      </c>
      <c r="M59" s="495">
        <f t="shared" ca="1" si="36"/>
        <v>127900</v>
      </c>
      <c r="N59" s="495">
        <f t="shared" ca="1" si="36"/>
        <v>127900</v>
      </c>
      <c r="O59" s="495">
        <f t="shared" ca="1" si="32"/>
        <v>91.032028469750884</v>
      </c>
      <c r="P59" s="495">
        <f t="shared" ca="1" si="33"/>
        <v>100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IFERROR(__xludf.DUMMYFUNCTION("IMPORTRANGE(""https://docs.google.com/spreadsheets/d/1MeEWN-I1oV_STSDYn1IFDPWt_1FKiwhDph83XaGc0o0/edit?usp=sharing"",""งบพรบ!Z72"")"),140500)</f>
        <v>140500</v>
      </c>
      <c r="M61" s="51">
        <f ca="1">IFERROR(__xludf.DUMMYFUNCTION("IMPORTRANGE(""https://docs.google.com/spreadsheets/d/1MeEWN-I1oV_STSDYn1IFDPWt_1FKiwhDph83XaGc0o0/edit?usp=sharing"",""งบพรบ!AC72"")"),127900)</f>
        <v>127900</v>
      </c>
      <c r="N61" s="51">
        <f ca="1">IFERROR(__xludf.DUMMYFUNCTION("IMPORTRANGE(""https://docs.google.com/spreadsheets/d/1MeEWN-I1oV_STSDYn1IFDPWt_1FKiwhDph83XaGc0o0/edit?usp=sharing"",""งบพรบ!AE72"")"),127900)</f>
        <v>127900</v>
      </c>
      <c r="O61" s="51">
        <f t="shared" ca="1" si="32"/>
        <v>91.032028469750884</v>
      </c>
      <c r="P61" s="51">
        <f t="shared" ca="1" si="33"/>
        <v>100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2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94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1114000</v>
      </c>
      <c r="M66" s="151">
        <f t="shared" ca="1" si="39"/>
        <v>531300</v>
      </c>
      <c r="N66" s="151">
        <f t="shared" ca="1" si="39"/>
        <v>88886.88</v>
      </c>
      <c r="O66" s="151">
        <f t="shared" ref="O66:O74" ca="1" si="40">IF(L66&gt;0,N66*100/L66,0)</f>
        <v>7.9790736086175942</v>
      </c>
      <c r="P66" s="151">
        <f t="shared" ref="P66:P74" ca="1" si="41">IF(M66&gt;0,N66*100/M66,0)</f>
        <v>16.730073404856014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1114000</v>
      </c>
      <c r="M68" s="90">
        <f t="shared" ca="1" si="42"/>
        <v>531300</v>
      </c>
      <c r="N68" s="90">
        <f t="shared" ca="1" si="42"/>
        <v>88886.88</v>
      </c>
      <c r="O68" s="90">
        <f t="shared" ca="1" si="40"/>
        <v>7.9790736086175942</v>
      </c>
      <c r="P68" s="90">
        <f t="shared" ca="1" si="41"/>
        <v>16.730073404856014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1114000</v>
      </c>
      <c r="M69" s="495">
        <f t="shared" ca="1" si="43"/>
        <v>531300</v>
      </c>
      <c r="N69" s="495">
        <f t="shared" ca="1" si="43"/>
        <v>88886.88</v>
      </c>
      <c r="O69" s="495">
        <f t="shared" ca="1" si="40"/>
        <v>7.9790736086175942</v>
      </c>
      <c r="P69" s="495">
        <f t="shared" ca="1" si="41"/>
        <v>16.730073404856014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IFERROR(__xludf.DUMMYFUNCTION("IMPORTRANGE(""https://docs.google.com/spreadsheets/d/1MeEWN-I1oV_STSDYn1IFDPWt_1FKiwhDph83XaGc0o0/edit?usp=sharing"",""งบพรบ!AG72"")"),1114000)</f>
        <v>1114000</v>
      </c>
      <c r="M71" s="90">
        <f ca="1">IFERROR(__xludf.DUMMYFUNCTION("IMPORTRANGE(""https://docs.google.com/spreadsheets/d/1MeEWN-I1oV_STSDYn1IFDPWt_1FKiwhDph83XaGc0o0/edit?usp=sharing"",""งบพรบ!AL72"")"),531300)</f>
        <v>531300</v>
      </c>
      <c r="N71" s="90">
        <f ca="1">IFERROR(__xludf.DUMMYFUNCTION("IMPORTRANGE(""https://docs.google.com/spreadsheets/d/1MeEWN-I1oV_STSDYn1IFDPWt_1FKiwhDph83XaGc0o0/edit?usp=sharing"",""งบพรบ!AN72"")"),88886.88)</f>
        <v>88886.88</v>
      </c>
      <c r="O71" s="90">
        <f t="shared" ca="1" si="40"/>
        <v>7.9790736086175942</v>
      </c>
      <c r="P71" s="90">
        <f t="shared" ca="1" si="41"/>
        <v>16.730073404856014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IFERROR(__xludf.DUMMYFUNCTION("IMPORTRANGE(""https://docs.google.com/spreadsheets/d/1MeEWN-I1oV_STSDYn1IFDPWt_1FKiwhDph83XaGc0o0/edit?usp=sharing"",""งบพรบ!AJ72"")"),0)</f>
        <v>0</v>
      </c>
      <c r="M74" s="90">
        <f ca="1">IFERROR(__xludf.DUMMYFUNCTION("IMPORTRANGE(""https://docs.google.com/spreadsheets/d/1MeEWN-I1oV_STSDYn1IFDPWt_1FKiwhDph83XaGc0o0/edit?usp=sharing"",""งบพรบ!AM72"")"),0)</f>
        <v>0</v>
      </c>
      <c r="N74" s="90">
        <f ca="1">IFERROR(__xludf.DUMMYFUNCTION("IMPORTRANGE(""https://docs.google.com/spreadsheets/d/1MeEWN-I1oV_STSDYn1IFDPWt_1FKiwhDph83XaGc0o0/edit?usp=sharing"",""งบพรบ!AO72"")"),0)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2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94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IFERROR(__xludf.DUMMYFUNCTION("IMPORTRANGE(""https://docs.google.com/spreadsheets/d/1QqKyyYR6Q21VydFLVH3TRQUabQu_ym0Zz7PgGX0-kHA/edit?usp=sharing"",""แผน!H72"")"),2)</f>
        <v>2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IFERROR(__xludf.DUMMYFUNCTION("IMPORTRANGE(""https://docs.google.com/spreadsheets/d/1QqKyyYR6Q21VydFLVH3TRQUabQu_ym0Zz7PgGX0-kHA/edit?usp=sharing"",""แผน!I72"")"),94)</f>
        <v>94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IFERROR(__xludf.DUMMYFUNCTION("IMPORTRANGE(""https://docs.google.com/spreadsheets/d/1QqKyyYR6Q21VydFLVH3TRQUabQu_ym0Zz7PgGX0-kHA/edit?usp=sharing"",""แผน!F72"")"),0)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IFERROR(__xludf.DUMMYFUNCTION("IMPORTRANGE(""https://docs.google.com/spreadsheets/d/1QqKyyYR6Q21VydFLVH3TRQUabQu_ym0Zz7PgGX0-kHA/edit?usp=sharing"",""แผน!G72"")"),0)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IFERROR(__xludf.DUMMYFUNCTION("IMPORTRANGE(""https://docs.google.com/spreadsheets/d/1QqKyyYR6Q21VydFLVH3TRQUabQu_ym0Zz7PgGX0-kHA/edit?usp=sharing"",""แผน!D72"")"),0)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IFERROR(__xludf.DUMMYFUNCTION("IMPORTRANGE(""https://docs.google.com/spreadsheets/d/1QqKyyYR6Q21VydFLVH3TRQUabQu_ym0Zz7PgGX0-kHA/edit?usp=sharing"",""แผน!E72"")"),0)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IFERROR(__xludf.DUMMYFUNCTION("IMPORTRANGE(""https://docs.google.com/spreadsheets/d/1QqKyyYR6Q21VydFLVH3TRQUabQu_ym0Zz7PgGX0-kHA/edit?usp=sharing"",""แผน!J72"")"),2)</f>
        <v>2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30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10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116140</v>
      </c>
      <c r="M88" s="151">
        <f t="shared" ca="1" si="49"/>
        <v>49590</v>
      </c>
      <c r="N88" s="151">
        <f t="shared" ca="1" si="49"/>
        <v>21840</v>
      </c>
      <c r="O88" s="151">
        <f t="shared" ref="O88:O96" ca="1" si="50">IF(L88&gt;0,N88*100/L88,0)</f>
        <v>18.804890649216464</v>
      </c>
      <c r="P88" s="151">
        <f t="shared" ref="P88:P96" ca="1" si="51">IF(M88&gt;0,N88*100/M88,0)</f>
        <v>44.041137326073802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116140</v>
      </c>
      <c r="M90" s="90">
        <f t="shared" ca="1" si="52"/>
        <v>49590</v>
      </c>
      <c r="N90" s="90">
        <f t="shared" ca="1" si="52"/>
        <v>21840</v>
      </c>
      <c r="O90" s="90">
        <f t="shared" ca="1" si="50"/>
        <v>18.804890649216464</v>
      </c>
      <c r="P90" s="90">
        <f t="shared" ca="1" si="51"/>
        <v>44.041137326073802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116140</v>
      </c>
      <c r="M91" s="495">
        <f t="shared" ca="1" si="53"/>
        <v>49590</v>
      </c>
      <c r="N91" s="495">
        <f t="shared" ca="1" si="53"/>
        <v>21840</v>
      </c>
      <c r="O91" s="495">
        <f t="shared" ca="1" si="50"/>
        <v>18.804890649216464</v>
      </c>
      <c r="P91" s="495">
        <f t="shared" ca="1" si="51"/>
        <v>44.041137326073802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IFERROR(__xludf.DUMMYFUNCTION("IMPORTRANGE(""https://docs.google.com/spreadsheets/d/1MeEWN-I1oV_STSDYn1IFDPWt_1FKiwhDph83XaGc0o0/edit?usp=sharing"",""งบพรบ!AQ72"")"),116140)</f>
        <v>116140</v>
      </c>
      <c r="M93" s="90">
        <f ca="1">IFERROR(__xludf.DUMMYFUNCTION("IMPORTRANGE(""https://docs.google.com/spreadsheets/d/1MeEWN-I1oV_STSDYn1IFDPWt_1FKiwhDph83XaGc0o0/edit?usp=sharing"",""งบพรบ!AV72"")"),49590)</f>
        <v>49590</v>
      </c>
      <c r="N93" s="90">
        <f ca="1">IFERROR(__xludf.DUMMYFUNCTION("IMPORTRANGE(""https://docs.google.com/spreadsheets/d/1MeEWN-I1oV_STSDYn1IFDPWt_1FKiwhDph83XaGc0o0/edit?usp=sharing"",""งบพรบ!AX72"")"),21840)</f>
        <v>21840</v>
      </c>
      <c r="O93" s="90">
        <f t="shared" ca="1" si="50"/>
        <v>18.804890649216464</v>
      </c>
      <c r="P93" s="90">
        <f t="shared" ca="1" si="51"/>
        <v>44.041137326073802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IFERROR(__xludf.DUMMYFUNCTION("IMPORTRANGE(""https://docs.google.com/spreadsheets/d/1MeEWN-I1oV_STSDYn1IFDPWt_1FKiwhDph83XaGc0o0/edit?usp=sharing"",""งบพรบ!AT72"")"),0)</f>
        <v>0</v>
      </c>
      <c r="M96" s="90">
        <f ca="1">IFERROR(__xludf.DUMMYFUNCTION("IMPORTRANGE(""https://docs.google.com/spreadsheets/d/1MeEWN-I1oV_STSDYn1IFDPWt_1FKiwhDph83XaGc0o0/edit?usp=sharing"",""งบพรบ!AW72"")"),0)</f>
        <v>0</v>
      </c>
      <c r="N96" s="90">
        <f ca="1">IFERROR(__xludf.DUMMYFUNCTION("IMPORTRANGE(""https://docs.google.com/spreadsheets/d/1MeEWN-I1oV_STSDYn1IFDPWt_1FKiwhDph83XaGc0o0/edit?usp=sharing"",""งบพรบ!AY72"")"),0)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IFERROR(__xludf.DUMMYFUNCTION("IMPORTRANGE(""https://docs.google.com/spreadsheets/d/1QqKyyYR6Q21VydFLVH3TRQUabQu_ym0Zz7PgGX0-kHA/edit?usp=sharing"",""แผน!K72"")"),30)</f>
        <v>30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IFERROR(__xludf.DUMMYFUNCTION("IMPORTRANGE(""https://docs.google.com/spreadsheets/d/1QqKyyYR6Q21VydFLVH3TRQUabQu_ym0Zz7PgGX0-kHA/edit?usp=sharing"",""แผน!L72"")"),10)</f>
        <v>10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IFERROR(__xludf.DUMMYFUNCTION("IMPORTRANGE(""https://docs.google.com/spreadsheets/d/1QqKyyYR6Q21VydFLVH3TRQUabQu_ym0Zz7PgGX0-kHA/edit?usp=sharing"",""แผน!M72"")"),3)</f>
        <v>3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IFERROR(__xludf.DUMMYFUNCTION("IMPORTRANGE(""https://docs.google.com/spreadsheets/d/1QqKyyYR6Q21VydFLVH3TRQUabQu_ym0Zz7PgGX0-kHA/edit?usp=sharing"",""แผน!N72"")"),30)</f>
        <v>30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IFERROR(__xludf.DUMMYFUNCTION("IMPORTRANGE(""https://docs.google.com/spreadsheets/d/1QqKyyYR6Q21VydFLVH3TRQUabQu_ym0Zz7PgGX0-kHA/edit?usp=sharing"",""แผน!O72"")"),10)</f>
        <v>10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IFERROR(__xludf.DUMMYFUNCTION("IMPORTRANGE(""https://docs.google.com/spreadsheets/d/1QqKyyYR6Q21VydFLVH3TRQUabQu_ym0Zz7PgGX0-kHA/edit?usp=sharing"",""แผน!O72"")"),10)</f>
        <v>10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IFERROR(__xludf.DUMMYFUNCTION("IMPORTRANGE(""https://docs.google.com/spreadsheets/d/1QqKyyYR6Q21VydFLVH3TRQUabQu_ym0Zz7PgGX0-kHA/edit?usp=sharing"",""แผน!P72"")"),2)</f>
        <v>2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IFERROR(__xludf.DUMMYFUNCTION("IMPORTRANGE(""https://docs.google.com/spreadsheets/d/1QqKyyYR6Q21VydFLVH3TRQUabQu_ym0Zz7PgGX0-kHA/edit?usp=sharing"",""แผน!P72"")"),2)</f>
        <v>2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IFERROR(__xludf.DUMMYFUNCTION("IMPORTRANGE(""https://docs.google.com/spreadsheets/d/1QqKyyYR6Q21VydFLVH3TRQUabQu_ym0Zz7PgGX0-kHA/edit?usp=sharing"",""แผน!Q72"")"),1)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IFERROR(__xludf.DUMMYFUNCTION("IMPORTRANGE(""https://docs.google.com/spreadsheets/d/1QqKyyYR6Q21VydFLVH3TRQUabQu_ym0Zz7PgGX0-kHA/edit?usp=sharing"",""แผน!Q72"")"),1)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IFERROR(__xludf.DUMMYFUNCTION("IMPORTRANGE(""https://docs.google.com/spreadsheets/d/1QqKyyYR6Q21VydFLVH3TRQUabQu_ym0Zz7PgGX0-kHA/edit?usp=sharing"",""แผน!R72"")"),10)</f>
        <v>10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3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IFERROR(__xludf.DUMMYFUNCTION("IMPORTRANGE(""https://docs.google.com/spreadsheets/d/1QqKyyYR6Q21VydFLVH3TRQUabQu_ym0Zz7PgGX0-kHA/edit?usp=sharing"",""แผน!R72"")"),10)</f>
        <v>10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IFERROR(__xludf.DUMMYFUNCTION("IMPORTRANGE(""https://docs.google.com/spreadsheets/d/1QqKyyYR6Q21VydFLVH3TRQUabQu_ym0Zz7PgGX0-kHA/edit?usp=sharing"",""แผน!R72"")"),10)</f>
        <v>10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IFERROR(__xludf.DUMMYFUNCTION("IMPORTRANGE(""https://docs.google.com/spreadsheets/d/1QqKyyYR6Q21VydFLVH3TRQUabQu_ym0Zz7PgGX0-kHA/edit?usp=sharing"",""แผน!S72"")"),2)</f>
        <v>2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IFERROR(__xludf.DUMMYFUNCTION("IMPORTRANGE(""https://docs.google.com/spreadsheets/d/1QqKyyYR6Q21VydFLVH3TRQUabQu_ym0Zz7PgGX0-kHA/edit?usp=sharing"",""แผน!T72"")"),1)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IFERROR(__xludf.DUMMYFUNCTION("IMPORTRANGE(""https://docs.google.com/spreadsheets/d/1MeEWN-I1oV_STSDYn1IFDPWt_1FKiwhDph83XaGc0o0/edit?usp=sharing"",""งบพรบ!BA72"")"),0)</f>
        <v>0</v>
      </c>
      <c r="M124" s="90">
        <f ca="1">IFERROR(__xludf.DUMMYFUNCTION("IMPORTRANGE(""https://docs.google.com/spreadsheets/d/1MeEWN-I1oV_STSDYn1IFDPWt_1FKiwhDph83XaGc0o0/edit?usp=sharing"",""งบพรบ!BF72"")"),0)</f>
        <v>0</v>
      </c>
      <c r="N124" s="90">
        <f ca="1">IFERROR(__xludf.DUMMYFUNCTION("IMPORTRANGE(""https://docs.google.com/spreadsheets/d/1MeEWN-I1oV_STSDYn1IFDPWt_1FKiwhDph83XaGc0o0/edit?usp=sharing"",""งบพรบ!BH72"")"),0)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IFERROR(__xludf.DUMMYFUNCTION("IMPORTRANGE(""https://docs.google.com/spreadsheets/d/1MeEWN-I1oV_STSDYn1IFDPWt_1FKiwhDph83XaGc0o0/edit?usp=sharing"",""งบพรบ!BD72"")"),0)</f>
        <v>0</v>
      </c>
      <c r="M127" s="90">
        <f ca="1">IFERROR(__xludf.DUMMYFUNCTION("IMPORTRANGE(""https://docs.google.com/spreadsheets/d/1MeEWN-I1oV_STSDYn1IFDPWt_1FKiwhDph83XaGc0o0/edit?usp=sharing"",""งบพรบ!BG72"")"),0)</f>
        <v>0</v>
      </c>
      <c r="N127" s="90">
        <f ca="1">IFERROR(__xludf.DUMMYFUNCTION("IMPORTRANGE(""https://docs.google.com/spreadsheets/d/1MeEWN-I1oV_STSDYn1IFDPWt_1FKiwhDph83XaGc0o0/edit?usp=sharing"",""งบพรบ!BI72"")"),0)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IFERROR(__xludf.DUMMYFUNCTION("IMPORTRANGE(""https://docs.google.com/spreadsheets/d/1MeEWN-I1oV_STSDYn1IFDPWt_1FKiwhDph83XaGc0o0/edit?usp=sharing"",""งบพรบ!BK72"")"),0)</f>
        <v>0</v>
      </c>
      <c r="M137" s="90">
        <f ca="1">IFERROR(__xludf.DUMMYFUNCTION("IMPORTRANGE(""https://docs.google.com/spreadsheets/d/1MeEWN-I1oV_STSDYn1IFDPWt_1FKiwhDph83XaGc0o0/edit?usp=sharing"",""งบพรบ!BP72"")"),0)</f>
        <v>0</v>
      </c>
      <c r="N137" s="90">
        <f ca="1">IFERROR(__xludf.DUMMYFUNCTION("IMPORTRANGE(""https://docs.google.com/spreadsheets/d/1MeEWN-I1oV_STSDYn1IFDPWt_1FKiwhDph83XaGc0o0/edit?usp=sharing"",""งบพรบ!BR72"")"),0)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IFERROR(__xludf.DUMMYFUNCTION("IMPORTRANGE(""https://docs.google.com/spreadsheets/d/1MeEWN-I1oV_STSDYn1IFDPWt_1FKiwhDph83XaGc0o0/edit?usp=sharing"",""งบพรบ!BN72"")"),0)</f>
        <v>0</v>
      </c>
      <c r="M140" s="90">
        <f ca="1">IFERROR(__xludf.DUMMYFUNCTION("IMPORTRANGE(""https://docs.google.com/spreadsheets/d/1MeEWN-I1oV_STSDYn1IFDPWt_1FKiwhDph83XaGc0o0/edit?usp=sharing"",""งบพรบ!BQ72"")"),0)</f>
        <v>0</v>
      </c>
      <c r="N140" s="90">
        <f ca="1">IFERROR(__xludf.DUMMYFUNCTION("IMPORTRANGE(""https://docs.google.com/spreadsheets/d/1MeEWN-I1oV_STSDYn1IFDPWt_1FKiwhDph83XaGc0o0/edit?usp=sharing"",""งบพรบ!BS72"")"),0)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IFERROR(__xludf.DUMMYFUNCTION("IMPORTRANGE(""https://docs.google.com/spreadsheets/d/1QqKyyYR6Q21VydFLVH3TRQUabQu_ym0Zz7PgGX0-kHA/edit?usp=sharing"",""แผน!U72"")"),0)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IFERROR(__xludf.DUMMYFUNCTION("IMPORTRANGE(""https://docs.google.com/spreadsheets/d/1QqKyyYR6Q21VydFLVH3TRQUabQu_ym0Zz7PgGX0-kHA/edit?usp=sharing"",""แผน!V72"")"),0)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IFERROR(__xludf.DUMMYFUNCTION("IMPORTRANGE(""https://docs.google.com/spreadsheets/d/1QqKyyYR6Q21VydFLVH3TRQUabQu_ym0Zz7PgGX0-kHA/edit?usp=sharing"",""แผน!W72"")"),0)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15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7500</v>
      </c>
      <c r="M149" s="151">
        <f t="shared" ca="1" si="77"/>
        <v>7500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7500</v>
      </c>
      <c r="M151" s="90">
        <f t="shared" ca="1" si="80"/>
        <v>7500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7500</v>
      </c>
      <c r="M152" s="495">
        <f t="shared" ca="1" si="81"/>
        <v>7500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IFERROR(__xludf.DUMMYFUNCTION("IMPORTRANGE(""https://docs.google.com/spreadsheets/d/1MeEWN-I1oV_STSDYn1IFDPWt_1FKiwhDph83XaGc0o0/edit?usp=sharing"",""งบพรบ!BU72"")"),7500)</f>
        <v>7500</v>
      </c>
      <c r="M154" s="90">
        <f ca="1">IFERROR(__xludf.DUMMYFUNCTION("IMPORTRANGE(""https://docs.google.com/spreadsheets/d/1MeEWN-I1oV_STSDYn1IFDPWt_1FKiwhDph83XaGc0o0/edit?usp=sharing"",""งบพรบ!BZ72"")"),7500)</f>
        <v>7500</v>
      </c>
      <c r="N154" s="90">
        <f ca="1">IFERROR(__xludf.DUMMYFUNCTION("IMPORTRANGE(""https://docs.google.com/spreadsheets/d/1MeEWN-I1oV_STSDYn1IFDPWt_1FKiwhDph83XaGc0o0/edit?usp=sharing"",""งบพรบ!CB72"")"),0)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IFERROR(__xludf.DUMMYFUNCTION("IMPORTRANGE(""https://docs.google.com/spreadsheets/d/1MeEWN-I1oV_STSDYn1IFDPWt_1FKiwhDph83XaGc0o0/edit?usp=sharing"",""งบพรบ!BX72"")"),0)</f>
        <v>0</v>
      </c>
      <c r="M157" s="90">
        <f ca="1">IFERROR(__xludf.DUMMYFUNCTION("IMPORTRANGE(""https://docs.google.com/spreadsheets/d/1MeEWN-I1oV_STSDYn1IFDPWt_1FKiwhDph83XaGc0o0/edit?usp=sharing"",""งบพรบ!CA72"")"),0)</f>
        <v>0</v>
      </c>
      <c r="N157" s="90">
        <f ca="1">IFERROR(__xludf.DUMMYFUNCTION("IMPORTRANGE(""https://docs.google.com/spreadsheets/d/1MeEWN-I1oV_STSDYn1IFDPWt_1FKiwhDph83XaGc0o0/edit?usp=sharing"",""งบพรบ!CC72"")"),0)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IFERROR(__xludf.DUMMYFUNCTION("IMPORTRANGE(""https://docs.google.com/spreadsheets/d/1QqKyyYR6Q21VydFLVH3TRQUabQu_ym0Zz7PgGX0-kHA/edit?usp=sharing"",""แผน!X72"")"),15)</f>
        <v>15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12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23060</v>
      </c>
      <c r="M165" s="150">
        <f t="shared" ca="1" si="84"/>
        <v>23060</v>
      </c>
      <c r="N165" s="150">
        <f t="shared" ca="1" si="84"/>
        <v>23060</v>
      </c>
      <c r="O165" s="150">
        <f t="shared" ref="O165:O173" ca="1" si="85">IF(L165&gt;0,N165*100/L165,0)</f>
        <v>100</v>
      </c>
      <c r="P165" s="150">
        <f t="shared" ref="P165:P173" ca="1" si="86">IF(M165&gt;0,N165*100/M165,0)</f>
        <v>100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23060</v>
      </c>
      <c r="M167" s="90">
        <f t="shared" ca="1" si="87"/>
        <v>23060</v>
      </c>
      <c r="N167" s="90">
        <f t="shared" ca="1" si="87"/>
        <v>23060</v>
      </c>
      <c r="O167" s="90">
        <f t="shared" ca="1" si="85"/>
        <v>100</v>
      </c>
      <c r="P167" s="90">
        <f t="shared" ca="1" si="86"/>
        <v>100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23060</v>
      </c>
      <c r="M168" s="495">
        <f t="shared" ca="1" si="88"/>
        <v>23060</v>
      </c>
      <c r="N168" s="495">
        <f t="shared" ca="1" si="88"/>
        <v>23060</v>
      </c>
      <c r="O168" s="495">
        <f t="shared" ca="1" si="85"/>
        <v>100</v>
      </c>
      <c r="P168" s="495">
        <f t="shared" ca="1" si="86"/>
        <v>100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IFERROR(__xludf.DUMMYFUNCTION("IMPORTRANGE(""https://docs.google.com/spreadsheets/d/1MeEWN-I1oV_STSDYn1IFDPWt_1FKiwhDph83XaGc0o0/edit?usp=sharing"",""งบพรบ!CE72"")"),23060)</f>
        <v>23060</v>
      </c>
      <c r="M170" s="90">
        <f ca="1">IFERROR(__xludf.DUMMYFUNCTION("IMPORTRANGE(""https://docs.google.com/spreadsheets/d/1MeEWN-I1oV_STSDYn1IFDPWt_1FKiwhDph83XaGc0o0/edit?usp=sharing"",""งบพรบ!CJ72"")"),23060)</f>
        <v>23060</v>
      </c>
      <c r="N170" s="90">
        <f ca="1">IFERROR(__xludf.DUMMYFUNCTION("IMPORTRANGE(""https://docs.google.com/spreadsheets/d/1MeEWN-I1oV_STSDYn1IFDPWt_1FKiwhDph83XaGc0o0/edit?usp=sharing"",""งบพรบ!CL72"")"),23060)</f>
        <v>23060</v>
      </c>
      <c r="O170" s="90">
        <f t="shared" ca="1" si="85"/>
        <v>100</v>
      </c>
      <c r="P170" s="90">
        <f t="shared" ca="1" si="86"/>
        <v>100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IFERROR(__xludf.DUMMYFUNCTION("IMPORTRANGE(""https://docs.google.com/spreadsheets/d/1MeEWN-I1oV_STSDYn1IFDPWt_1FKiwhDph83XaGc0o0/edit?usp=sharing"",""งบพรบ!CH72"")"),0)</f>
        <v>0</v>
      </c>
      <c r="M173" s="90">
        <f ca="1">IFERROR(__xludf.DUMMYFUNCTION("IMPORTRANGE(""https://docs.google.com/spreadsheets/d/1MeEWN-I1oV_STSDYn1IFDPWt_1FKiwhDph83XaGc0o0/edit?usp=sharing"",""งบพรบ!CK72"")"),0)</f>
        <v>0</v>
      </c>
      <c r="N173" s="90">
        <f ca="1">IFERROR(__xludf.DUMMYFUNCTION("IMPORTRANGE(""https://docs.google.com/spreadsheets/d/1MeEWN-I1oV_STSDYn1IFDPWt_1FKiwhDph83XaGc0o0/edit?usp=sharing"",""งบพรบ!CM72"")"),0)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12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IFERROR(__xludf.DUMMYFUNCTION("IMPORTRANGE(""https://docs.google.com/spreadsheets/d/1QqKyyYR6Q21VydFLVH3TRQUabQu_ym0Zz7PgGX0-kHA/edit?usp=sharing"",""แผน!Y72"")"),12)</f>
        <v>12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27000</v>
      </c>
      <c r="M181" s="150">
        <f t="shared" ca="1" si="91"/>
        <v>12000</v>
      </c>
      <c r="N181" s="150">
        <f t="shared" ca="1" si="91"/>
        <v>1000</v>
      </c>
      <c r="O181" s="150">
        <f t="shared" ref="O181:O189" ca="1" si="92">IF(L181&gt;0,N181*100/L181,0)</f>
        <v>3.7037037037037037</v>
      </c>
      <c r="P181" s="150">
        <f t="shared" ref="P181:P189" ca="1" si="93">IF(M181&gt;0,N181*100/M181,0)</f>
        <v>8.3333333333333339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27000</v>
      </c>
      <c r="M183" s="90">
        <f t="shared" ca="1" si="94"/>
        <v>12000</v>
      </c>
      <c r="N183" s="90">
        <f t="shared" ca="1" si="94"/>
        <v>1000</v>
      </c>
      <c r="O183" s="90">
        <f t="shared" ca="1" si="92"/>
        <v>3.7037037037037037</v>
      </c>
      <c r="P183" s="90">
        <f t="shared" ca="1" si="93"/>
        <v>8.3333333333333339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27000</v>
      </c>
      <c r="M184" s="495">
        <f t="shared" ca="1" si="95"/>
        <v>12000</v>
      </c>
      <c r="N184" s="495">
        <f t="shared" ca="1" si="95"/>
        <v>1000</v>
      </c>
      <c r="O184" s="495">
        <f t="shared" ca="1" si="92"/>
        <v>3.7037037037037037</v>
      </c>
      <c r="P184" s="495">
        <f t="shared" ca="1" si="93"/>
        <v>8.3333333333333339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IFERROR(__xludf.DUMMYFUNCTION("IMPORTRANGE(""https://docs.google.com/spreadsheets/d/1MeEWN-I1oV_STSDYn1IFDPWt_1FKiwhDph83XaGc0o0/edit?usp=sharing"",""งบพรบ!CO72"")"),27000)</f>
        <v>27000</v>
      </c>
      <c r="M186" s="90">
        <f ca="1">IFERROR(__xludf.DUMMYFUNCTION("IMPORTRANGE(""https://docs.google.com/spreadsheets/d/1MeEWN-I1oV_STSDYn1IFDPWt_1FKiwhDph83XaGc0o0/edit?usp=sharing"",""งบพรบ!CT72"")"),12000)</f>
        <v>12000</v>
      </c>
      <c r="N186" s="90">
        <f ca="1">IFERROR(__xludf.DUMMYFUNCTION("IMPORTRANGE(""https://docs.google.com/spreadsheets/d/1MeEWN-I1oV_STSDYn1IFDPWt_1FKiwhDph83XaGc0o0/edit?usp=sharing"",""งบพรบ!CV72"")"),1000)</f>
        <v>1000</v>
      </c>
      <c r="O186" s="90">
        <f t="shared" ca="1" si="92"/>
        <v>3.7037037037037037</v>
      </c>
      <c r="P186" s="90">
        <f t="shared" ca="1" si="93"/>
        <v>8.3333333333333339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IFERROR(__xludf.DUMMYFUNCTION("IMPORTRANGE(""https://docs.google.com/spreadsheets/d/1MeEWN-I1oV_STSDYn1IFDPWt_1FKiwhDph83XaGc0o0/edit?usp=sharing"",""งบพรบ!CR72"")"),0)</f>
        <v>0</v>
      </c>
      <c r="M189" s="90">
        <f ca="1">IFERROR(__xludf.DUMMYFUNCTION("IMPORTRANGE(""https://docs.google.com/spreadsheets/d/1MeEWN-I1oV_STSDYn1IFDPWt_1FKiwhDph83XaGc0o0/edit?usp=sharing"",""งบพรบ!CU72"")"),0)</f>
        <v>0</v>
      </c>
      <c r="N189" s="90">
        <f ca="1">IFERROR(__xludf.DUMMYFUNCTION("IMPORTRANGE(""https://docs.google.com/spreadsheets/d/1MeEWN-I1oV_STSDYn1IFDPWt_1FKiwhDph83XaGc0o0/edit?usp=sharing"",""งบพรบ!CW72"")"),0)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IFERROR(__xludf.DUMMYFUNCTION("IMPORTRANGE(""https://docs.google.com/spreadsheets/d/1QqKyyYR6Q21VydFLVH3TRQUabQu_ym0Zz7PgGX0-kHA/edit?usp=sharing"",""แผน!Z72"")"),6000)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IFERROR(__xludf.DUMMYFUNCTION("IMPORTRANGE(""https://docs.google.com/spreadsheets/d/1QqKyyYR6Q21VydFLVH3TRQUabQu_ym0Zz7PgGX0-kHA/edit?usp=sharing"",""แผน!AC72"")"),4)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1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13000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IFERROR(__xludf.DUMMYFUNCTION("IMPORTRANGE(""https://docs.google.com/spreadsheets/d/1QqKyyYR6Q21VydFLVH3TRQUabQu_ym0Zz7PgGX0-kHA/edit?usp=sharing"",""แผน!AE72"")"),1000)</f>
        <v>1000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IFERROR(__xludf.DUMMYFUNCTION("IMPORTRANGE(""https://docs.google.com/spreadsheets/d/1QqKyyYR6Q21VydFLVH3TRQUabQu_ym0Zz7PgGX0-kHA/edit?usp=sharing"",""แผน!AF72"")"),8000)</f>
        <v>8000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IFERROR(__xludf.DUMMYFUNCTION("IMPORTRANGE(""https://docs.google.com/spreadsheets/d/1QqKyyYR6Q21VydFLVH3TRQUabQu_ym0Zz7PgGX0-kHA/edit?usp=sharing"",""แผน!AG72"")"),4000)</f>
        <v>4000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IFERROR(__xludf.DUMMYFUNCTION("IMPORTRANGE(""https://docs.google.com/spreadsheets/d/1QqKyyYR6Q21VydFLVH3TRQUabQu_ym0Zz7PgGX0-kHA/edit?usp=sharing"",""แผน!AH72"")"),0)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IFERROR(__xludf.DUMMYFUNCTION("IMPORTRANGE(""https://docs.google.com/spreadsheets/d/1QqKyyYR6Q21VydFLVH3TRQUabQu_ym0Zz7PgGX0-kHA/edit?usp=sharing"",""แผน!AI72"")"),1)</f>
        <v>1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>
      <c r="A206" s="166"/>
      <c r="B206" s="167"/>
      <c r="C206" s="167"/>
      <c r="D206" s="174"/>
      <c r="E206" s="524" t="s">
        <v>102</v>
      </c>
      <c r="F206" s="282"/>
      <c r="G206" s="283"/>
      <c r="H206" s="284" t="s">
        <v>96</v>
      </c>
      <c r="I206" s="264">
        <v>1</v>
      </c>
      <c r="J206" s="210">
        <v>0</v>
      </c>
      <c r="K206" s="159">
        <f t="shared" ref="K206:K208" si="99">IF(I206&gt;0,J206*100/I206,0)</f>
        <v>0</v>
      </c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>
      <c r="A207" s="166"/>
      <c r="B207" s="167"/>
      <c r="C207" s="167"/>
      <c r="D207" s="445"/>
      <c r="E207" s="445" t="s">
        <v>103</v>
      </c>
      <c r="F207" s="174"/>
      <c r="G207" s="174"/>
      <c r="H207" s="285" t="s">
        <v>104</v>
      </c>
      <c r="I207" s="264">
        <v>0</v>
      </c>
      <c r="J207" s="210">
        <v>0</v>
      </c>
      <c r="K207" s="159">
        <f t="shared" si="99"/>
        <v>0</v>
      </c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100">I215</f>
        <v>0</v>
      </c>
      <c r="J208" s="266">
        <f t="shared" si="100"/>
        <v>0</v>
      </c>
      <c r="K208" s="267">
        <f t="shared" ca="1" si="99"/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IFERROR(__xludf.DUMMYFUNCTION("IMPORTRANGE(""https://docs.google.com/spreadsheets/d/1QqKyyYR6Q21VydFLVH3TRQUabQu_ym0Zz7PgGX0-kHA/edit?usp=sharing"",""แผน!AK72"")"),0)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IFERROR(__xludf.DUMMYFUNCTION("IMPORTRANGE(""https://docs.google.com/spreadsheets/d/1QqKyyYR6Q21VydFLVH3TRQUabQu_ym0Zz7PgGX0-kHA/edit?usp=sharing"",""แผน!AL72"")"),0)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IFERROR(__xludf.DUMMYFUNCTION("IMPORTRANGE(""https://docs.google.com/spreadsheets/d/1QqKyyYR6Q21VydFLVH3TRQUabQu_ym0Zz7PgGX0-kHA/edit?usp=sharing"",""แผน!AM72"")"),0)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IFERROR(__xludf.DUMMYFUNCTION("IMPORTRANGE(""https://docs.google.com/spreadsheets/d/1QqKyyYR6Q21VydFLVH3TRQUabQu_ym0Zz7PgGX0-kHA/edit?usp=sharing"",""แผน!AN72"")"),0)</f>
        <v>0</v>
      </c>
      <c r="J214" s="210">
        <v>0</v>
      </c>
      <c r="K214" s="495">
        <f t="shared" ref="K214:K216" ca="1" si="101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IFERROR(__xludf.DUMMYFUNCTION("IMPORTRANGE(""https://docs.google.com/spreadsheets/d/1QqKyyYR6Q21VydFLVH3TRQUabQu_ym0Zz7PgGX0-kHA/edit?usp=sharing"",""แผน!AN72"")"),0)</f>
        <v>0</v>
      </c>
      <c r="J215" s="210">
        <v>0</v>
      </c>
      <c r="K215" s="495">
        <f t="shared" ca="1" si="101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2">I224</f>
        <v>20000</v>
      </c>
      <c r="J216" s="266">
        <f t="shared" si="102"/>
        <v>0</v>
      </c>
      <c r="K216" s="267">
        <f t="shared" ca="1" si="101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8000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IFERROR(__xludf.DUMMYFUNCTION("IMPORTRANGE(""https://docs.google.com/spreadsheets/d/1QqKyyYR6Q21VydFLVH3TRQUabQu_ym0Zz7PgGX0-kHA/edit?usp=sharing"",""แผน!AP72"")"),3000)</f>
        <v>3000</v>
      </c>
      <c r="M218" s="495"/>
      <c r="N218" s="816">
        <v>0</v>
      </c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IFERROR(__xludf.DUMMYFUNCTION("IMPORTRANGE(""https://docs.google.com/spreadsheets/d/1QqKyyYR6Q21VydFLVH3TRQUabQu_ym0Zz7PgGX0-kHA/edit?usp=sharing"",""แผน!AQ72"")"),5000)</f>
        <v>5000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IFERROR(__xludf.DUMMYFUNCTION("IMPORTRANGE(""https://docs.google.com/spreadsheets/d/1QqKyyYR6Q21VydFLVH3TRQUabQu_ym0Zz7PgGX0-kHA/edit?usp=sharing"",""แผน!AR72"")"),0)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IFERROR(__xludf.DUMMYFUNCTION("IMPORTRANGE(""https://docs.google.com/spreadsheets/d/1QqKyyYR6Q21VydFLVH3TRQUabQu_ym0Zz7PgGX0-kHA/edit?usp=sharing"",""แผน!AT72"")"),20000)</f>
        <v>20000</v>
      </c>
      <c r="J223" s="210">
        <v>0</v>
      </c>
      <c r="K223" s="159">
        <f t="shared" ref="K223:K226" ca="1" si="103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IFERROR(__xludf.DUMMYFUNCTION("IMPORTRANGE(""https://docs.google.com/spreadsheets/d/1QqKyyYR6Q21VydFLVH3TRQUabQu_ym0Zz7PgGX0-kHA/edit?usp=sharing"",""แผน!AT72"")"),20000)</f>
        <v>20000</v>
      </c>
      <c r="J224" s="210">
        <v>0</v>
      </c>
      <c r="K224" s="159">
        <f t="shared" ca="1" si="103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IFERROR(__xludf.DUMMYFUNCTION("IMPORTRANGE(""https://docs.google.com/spreadsheets/d/1QqKyyYR6Q21VydFLVH3TRQUabQu_ym0Zz7PgGX0-kHA/edit?usp=sharing"",""แผน!AS72"")"),0)</f>
        <v>0</v>
      </c>
      <c r="J225" s="210">
        <v>0</v>
      </c>
      <c r="K225" s="159">
        <f t="shared" ca="1" si="103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4">I237+I248</f>
        <v>#VALUE!</v>
      </c>
      <c r="J226" s="340">
        <f t="shared" si="104"/>
        <v>0</v>
      </c>
      <c r="K226" s="341" t="e">
        <f t="shared" ca="1" si="103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5">L238+L249</f>
        <v>0</v>
      </c>
      <c r="M227" s="351"/>
      <c r="N227" s="351">
        <f t="shared" ref="N227:N231" si="106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5"/>
        <v>0</v>
      </c>
      <c r="M228" s="90"/>
      <c r="N228" s="90">
        <f t="shared" si="106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5"/>
        <v>0</v>
      </c>
      <c r="M229" s="90"/>
      <c r="N229" s="90">
        <f t="shared" si="106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5"/>
        <v>0</v>
      </c>
      <c r="M230" s="90"/>
      <c r="N230" s="90">
        <f t="shared" si="106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5"/>
        <v>0</v>
      </c>
      <c r="M231" s="90"/>
      <c r="N231" s="90">
        <f t="shared" si="106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7">I244+I255</f>
        <v>#VALUE!</v>
      </c>
      <c r="J233" s="609">
        <f t="shared" si="107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8">I246+I257</f>
        <v>0</v>
      </c>
      <c r="J235" s="609">
        <f t="shared" si="108"/>
        <v>0</v>
      </c>
      <c r="K235" s="90">
        <f t="shared" ref="K235:K237" si="109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8"/>
        <v>0</v>
      </c>
      <c r="J236" s="609">
        <f t="shared" si="108"/>
        <v>0</v>
      </c>
      <c r="K236" s="90">
        <f t="shared" si="109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10">I244</f>
        <v>0</v>
      </c>
      <c r="J237" s="266">
        <f t="shared" si="110"/>
        <v>0</v>
      </c>
      <c r="K237" s="267">
        <f t="shared" ca="1" si="109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IFERROR(__xludf.DUMMYFUNCTION("IMPORTRANGE(""https://docs.google.com/spreadsheets/d/1QqKyyYR6Q21VydFLVH3TRQUabQu_ym0Zz7PgGX0-kHA/edit?usp=sharing"",""แผน!AV72"")"),0)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IFERROR(__xludf.DUMMYFUNCTION("IMPORTRANGE(""https://docs.google.com/spreadsheets/d/1QqKyyYR6Q21VydFLVH3TRQUabQu_ym0Zz7PgGX0-kHA/edit?usp=sharing"",""แผน!AW72"")"),0)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IFERROR(__xludf.DUMMYFUNCTION("IMPORTRANGE(""https://docs.google.com/spreadsheets/d/1QqKyyYR6Q21VydFLVH3TRQUabQu_ym0Zz7PgGX0-kHA/edit?usp=sharing"",""แผน!AX72"")"),0)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IFERROR(__xludf.DUMMYFUNCTION("IMPORTRANGE(""https://docs.google.com/spreadsheets/d/1QqKyyYR6Q21VydFLVH3TRQUabQu_ym0Zz7PgGX0-kHA/edit?usp=sharing"",""แผน!AY72"")"),0)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IFERROR(__xludf.DUMMYFUNCTION("IMPORTRANGE(""https://docs.google.com/spreadsheets/d/1QqKyyYR6Q21VydFLVH3TRQUabQu_ym0Zz7PgGX0-kHA/edit?usp=sharing"",""แผน!BE72"")"),0)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1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1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2">I255</f>
        <v/>
      </c>
      <c r="J248" s="266">
        <f t="shared" si="112"/>
        <v>0</v>
      </c>
      <c r="K248" s="267" t="e">
        <f t="shared" ca="1" si="111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IFERROR(__xludf.DUMMYFUNCTION("IMPORTRANGE(""https://docs.google.com/spreadsheets/d/1QqKyyYR6Q21VydFLVH3TRQUabQu_ym0Zz7PgGX0-kHA/edit?usp=sharing"",""แผน!AZ72"")"),0)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IFERROR(__xludf.DUMMYFUNCTION("IMPORTRANGE(""https://docs.google.com/spreadsheets/d/1QqKyyYR6Q21VydFLVH3TRQUabQu_ym0Zz7PgGX0-kHA/edit?usp=sharing"",""แผน!BA72"")"),0)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IFERROR(__xludf.DUMMYFUNCTION("IMPORTRANGE(""https://docs.google.com/spreadsheets/d/1QqKyyYR6Q21VydFLVH3TRQUabQu_ym0Zz7PgGX0-kHA/edit?usp=sharing"",""แผน!BB72"")"),0)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IFERROR(__xludf.DUMMYFUNCTION("IMPORTRANGE(""https://docs.google.com/spreadsheets/d/1QqKyyYR6Q21VydFLVH3TRQUabQu_ym0Zz7PgGX0-kHA/edit?usp=sharing"",""แผน!BC72"")"),0)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IFERROR(__xludf.DUMMYFUNCTION("IMPORTRANGE(""https://docs.google.com/spreadsheets/d/1QqKyyYR6Q21VydFLVH3TRQUabQu_ym0Zz7PgGX0-kHA/edit?usp=sharing"",""แผน!BF72"")"),"")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3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3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4">I271</f>
        <v>22</v>
      </c>
      <c r="J260" s="371">
        <f t="shared" si="114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5">L262+L263</f>
        <v>26900</v>
      </c>
      <c r="M261" s="151">
        <f t="shared" ca="1" si="115"/>
        <v>0</v>
      </c>
      <c r="N261" s="151">
        <f t="shared" ca="1" si="115"/>
        <v>0</v>
      </c>
      <c r="O261" s="151">
        <f t="shared" ref="O261:O269" ca="1" si="116">IF(L261&gt;0,N261*100/L261,0)</f>
        <v>0</v>
      </c>
      <c r="P261" s="151">
        <f t="shared" ref="P261:P269" ca="1" si="117">IF(M261&gt;0,N261*100/M261,0)</f>
        <v>0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8">L265+L268</f>
        <v>0</v>
      </c>
      <c r="M262" s="90">
        <f t="shared" si="118"/>
        <v>0</v>
      </c>
      <c r="N262" s="90">
        <f t="shared" si="118"/>
        <v>0</v>
      </c>
      <c r="O262" s="90">
        <f t="shared" si="116"/>
        <v>0</v>
      </c>
      <c r="P262" s="90">
        <f t="shared" si="117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8"/>
        <v>26900</v>
      </c>
      <c r="M263" s="90">
        <f t="shared" ca="1" si="118"/>
        <v>0</v>
      </c>
      <c r="N263" s="90">
        <f t="shared" ca="1" si="118"/>
        <v>0</v>
      </c>
      <c r="O263" s="90">
        <f t="shared" ca="1" si="116"/>
        <v>0</v>
      </c>
      <c r="P263" s="90">
        <f t="shared" ca="1" si="117"/>
        <v>0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9">L265+L266</f>
        <v>26900</v>
      </c>
      <c r="M264" s="495">
        <f t="shared" ca="1" si="119"/>
        <v>0</v>
      </c>
      <c r="N264" s="495">
        <f t="shared" ca="1" si="119"/>
        <v>0</v>
      </c>
      <c r="O264" s="495">
        <f t="shared" ca="1" si="116"/>
        <v>0</v>
      </c>
      <c r="P264" s="495">
        <f t="shared" ca="1" si="117"/>
        <v>0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6"/>
        <v>0</v>
      </c>
      <c r="P265" s="90">
        <f t="shared" si="117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IFERROR(__xludf.DUMMYFUNCTION("IMPORTRANGE(""https://docs.google.com/spreadsheets/d/1MeEWN-I1oV_STSDYn1IFDPWt_1FKiwhDph83XaGc0o0/edit?usp=sharing"",""งบพรบ!CY72"")"),26900)</f>
        <v>26900</v>
      </c>
      <c r="M266" s="90">
        <f ca="1">IFERROR(__xludf.DUMMYFUNCTION("IMPORTRANGE(""https://docs.google.com/spreadsheets/d/1MeEWN-I1oV_STSDYn1IFDPWt_1FKiwhDph83XaGc0o0/edit?usp=sharing"",""งบพรบ!DD72"")"),0)</f>
        <v>0</v>
      </c>
      <c r="N266" s="90">
        <f ca="1">IFERROR(__xludf.DUMMYFUNCTION("IMPORTRANGE(""https://docs.google.com/spreadsheets/d/1MeEWN-I1oV_STSDYn1IFDPWt_1FKiwhDph83XaGc0o0/edit?usp=sharing"",""งบพรบ!DF72"")"),0)</f>
        <v>0</v>
      </c>
      <c r="O266" s="90">
        <f t="shared" ca="1" si="116"/>
        <v>0</v>
      </c>
      <c r="P266" s="90">
        <f t="shared" ca="1" si="117"/>
        <v>0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20">L268+L269</f>
        <v>0</v>
      </c>
      <c r="M267" s="495">
        <f t="shared" ca="1" si="120"/>
        <v>0</v>
      </c>
      <c r="N267" s="495">
        <f t="shared" ca="1" si="120"/>
        <v>0</v>
      </c>
      <c r="O267" s="495">
        <f t="shared" ca="1" si="116"/>
        <v>0</v>
      </c>
      <c r="P267" s="495">
        <f t="shared" ca="1" si="117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6"/>
        <v>0</v>
      </c>
      <c r="P268" s="90">
        <f t="shared" si="117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IFERROR(__xludf.DUMMYFUNCTION("IMPORTRANGE(""https://docs.google.com/spreadsheets/d/1MeEWN-I1oV_STSDYn1IFDPWt_1FKiwhDph83XaGc0o0/edit?usp=sharing"",""งบพรบ!DB72"")"),0)</f>
        <v>0</v>
      </c>
      <c r="M269" s="90">
        <f ca="1">IFERROR(__xludf.DUMMYFUNCTION("IMPORTRANGE(""https://docs.google.com/spreadsheets/d/1MeEWN-I1oV_STSDYn1IFDPWt_1FKiwhDph83XaGc0o0/edit?usp=sharing"",""งบพรบ!DE72"")"),0)</f>
        <v>0</v>
      </c>
      <c r="N269" s="90">
        <f ca="1">IFERROR(__xludf.DUMMYFUNCTION("IMPORTRANGE(""https://docs.google.com/spreadsheets/d/1MeEWN-I1oV_STSDYn1IFDPWt_1FKiwhDph83XaGc0o0/edit?usp=sharing"",""งบพรบ!DG72"")"),0)</f>
        <v>0</v>
      </c>
      <c r="O269" s="90">
        <f t="shared" ca="1" si="116"/>
        <v>0</v>
      </c>
      <c r="P269" s="90">
        <f t="shared" ca="1" si="117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IFERROR(__xludf.DUMMYFUNCTION("IMPORTRANGE(""https://docs.google.com/spreadsheets/d/1QqKyyYR6Q21VydFLVH3TRQUabQu_ym0Zz7PgGX0-kHA/edit?usp=sharing"",""แผน!EA72"")"),22)</f>
        <v>22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1">I288</f>
        <v>10</v>
      </c>
      <c r="J275" s="403">
        <f t="shared" ca="1" si="121"/>
        <v>0</v>
      </c>
      <c r="K275" s="404">
        <f t="shared" ref="K275:K276" ca="1" si="122">IF(I275&gt;0,J275*100/I275,0)</f>
        <v>0</v>
      </c>
      <c r="L275" s="405"/>
      <c r="M275" s="405"/>
      <c r="N275" s="405"/>
      <c r="O275" s="405"/>
      <c r="P275" s="405"/>
    </row>
    <row r="276" spans="1:26" ht="19.5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3">I287</f>
        <v>100</v>
      </c>
      <c r="J276" s="407">
        <f t="shared" si="123"/>
        <v>0</v>
      </c>
      <c r="K276" s="405">
        <f t="shared" ca="1" si="122"/>
        <v>0</v>
      </c>
      <c r="L276" s="405"/>
      <c r="M276" s="405"/>
      <c r="N276" s="405"/>
      <c r="O276" s="405"/>
      <c r="P276" s="405"/>
    </row>
    <row r="277" spans="1:26" ht="19.5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4">L278+L279</f>
        <v>41010</v>
      </c>
      <c r="M277" s="151">
        <f t="shared" ca="1" si="124"/>
        <v>16820</v>
      </c>
      <c r="N277" s="151">
        <f t="shared" ca="1" si="124"/>
        <v>0</v>
      </c>
      <c r="O277" s="151">
        <f t="shared" ref="O277:O285" ca="1" si="125">IF(L277&gt;0,N277*100/L277,0)</f>
        <v>0</v>
      </c>
      <c r="P277" s="151">
        <f t="shared" ref="P277:P285" ca="1" si="126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7">L281+L284</f>
        <v>0</v>
      </c>
      <c r="M278" s="90">
        <f t="shared" si="127"/>
        <v>0</v>
      </c>
      <c r="N278" s="90">
        <f t="shared" si="127"/>
        <v>0</v>
      </c>
      <c r="O278" s="90">
        <f t="shared" si="125"/>
        <v>0</v>
      </c>
      <c r="P278" s="90">
        <f t="shared" si="126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7"/>
        <v>41010</v>
      </c>
      <c r="M279" s="90">
        <f t="shared" ca="1" si="127"/>
        <v>16820</v>
      </c>
      <c r="N279" s="90">
        <f t="shared" ca="1" si="127"/>
        <v>0</v>
      </c>
      <c r="O279" s="90">
        <f t="shared" ca="1" si="125"/>
        <v>0</v>
      </c>
      <c r="P279" s="90">
        <f t="shared" ca="1" si="126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8">L281+L282</f>
        <v>41010</v>
      </c>
      <c r="M280" s="495">
        <f t="shared" ca="1" si="128"/>
        <v>16820</v>
      </c>
      <c r="N280" s="495">
        <f t="shared" ca="1" si="128"/>
        <v>0</v>
      </c>
      <c r="O280" s="495">
        <f t="shared" ca="1" si="125"/>
        <v>0</v>
      </c>
      <c r="P280" s="495">
        <f t="shared" ca="1" si="126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5"/>
        <v>0</v>
      </c>
      <c r="P281" s="90">
        <f t="shared" si="126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IFERROR(__xludf.DUMMYFUNCTION("IMPORTRANGE(""https://docs.google.com/spreadsheets/d/1MeEWN-I1oV_STSDYn1IFDPWt_1FKiwhDph83XaGc0o0/edit?usp=sharing"",""งบพรบ!DI72"")"),41010)</f>
        <v>41010</v>
      </c>
      <c r="M282" s="90">
        <f ca="1">IFERROR(__xludf.DUMMYFUNCTION("IMPORTRANGE(""https://docs.google.com/spreadsheets/d/1MeEWN-I1oV_STSDYn1IFDPWt_1FKiwhDph83XaGc0o0/edit?usp=sharing"",""งบพรบ!DN72"")"),16820)</f>
        <v>16820</v>
      </c>
      <c r="N282" s="90">
        <f ca="1">IFERROR(__xludf.DUMMYFUNCTION("IMPORTRANGE(""https://docs.google.com/spreadsheets/d/1MeEWN-I1oV_STSDYn1IFDPWt_1FKiwhDph83XaGc0o0/edit?usp=sharing"",""งบพรบ!DP72"")"),0)</f>
        <v>0</v>
      </c>
      <c r="O282" s="90">
        <f t="shared" ca="1" si="125"/>
        <v>0</v>
      </c>
      <c r="P282" s="90">
        <f t="shared" ca="1" si="126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9">L284+L285</f>
        <v>0</v>
      </c>
      <c r="M283" s="495">
        <f t="shared" ca="1" si="129"/>
        <v>0</v>
      </c>
      <c r="N283" s="495">
        <f t="shared" ca="1" si="129"/>
        <v>0</v>
      </c>
      <c r="O283" s="495">
        <f t="shared" ca="1" si="125"/>
        <v>0</v>
      </c>
      <c r="P283" s="495">
        <f t="shared" ca="1" si="126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5"/>
        <v>0</v>
      </c>
      <c r="P284" s="90">
        <f t="shared" si="126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IFERROR(__xludf.DUMMYFUNCTION("IMPORTRANGE(""https://docs.google.com/spreadsheets/d/1MeEWN-I1oV_STSDYn1IFDPWt_1FKiwhDph83XaGc0o0/edit?usp=sharing"",""งบพรบ!DL72"")"),0)</f>
        <v>0</v>
      </c>
      <c r="M285" s="90">
        <f ca="1">IFERROR(__xludf.DUMMYFUNCTION("IMPORTRANGE(""https://docs.google.com/spreadsheets/d/1MeEWN-I1oV_STSDYn1IFDPWt_1FKiwhDph83XaGc0o0/edit?usp=sharing"",""งบพรบ!DO72"")"),0)</f>
        <v>0</v>
      </c>
      <c r="N285" s="90">
        <f ca="1">IFERROR(__xludf.DUMMYFUNCTION("IMPORTRANGE(""https://docs.google.com/spreadsheets/d/1MeEWN-I1oV_STSDYn1IFDPWt_1FKiwhDph83XaGc0o0/edit?usp=sharing"",""งบพรบ!DQ72"")"),0)</f>
        <v>0</v>
      </c>
      <c r="O285" s="90">
        <f t="shared" ca="1" si="125"/>
        <v>0</v>
      </c>
      <c r="P285" s="90">
        <f t="shared" ca="1" si="126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IFERROR(__xludf.DUMMYFUNCTION("IMPORTRANGE(""https://docs.google.com/spreadsheets/d/1QqKyyYR6Q21VydFLVH3TRQUabQu_ym0Zz7PgGX0-kHA/edit?usp=sharing"",""แผน!EC72"")"),100)</f>
        <v>100</v>
      </c>
      <c r="J287" s="210">
        <v>0</v>
      </c>
      <c r="K287" s="159">
        <f t="shared" ref="K287:K288" ca="1" si="130">IF(I287&gt;0,J287*100/I287,0)</f>
        <v>0</v>
      </c>
      <c r="L287" s="159"/>
      <c r="M287" s="159"/>
      <c r="N287" s="159"/>
      <c r="O287" s="159"/>
      <c r="P287" s="159"/>
    </row>
    <row r="288" spans="1:26" ht="19.5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IFERROR(__xludf.DUMMYFUNCTION("IMPORTRANGE(""https://docs.google.com/spreadsheets/d/1QqKyyYR6Q21VydFLVH3TRQUabQu_ym0Zz7PgGX0-kHA/edit?usp=sharing"",""แผน!EB72"")"),10)</f>
        <v>10</v>
      </c>
      <c r="J288" s="673">
        <f ca="1">IF(AND(J291&gt;=I288,J294&gt;=I288),J294,0)</f>
        <v>0</v>
      </c>
      <c r="K288" s="409">
        <f t="shared" ca="1" si="130"/>
        <v>0</v>
      </c>
      <c r="L288" s="159"/>
      <c r="M288" s="159"/>
      <c r="N288" s="159"/>
      <c r="O288" s="159"/>
      <c r="P288" s="159"/>
    </row>
    <row r="289" spans="1:26" ht="19.5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IFERROR(__xludf.DUMMYFUNCTION("IMPORTRANGE(""https://docs.google.com/spreadsheets/d/1QqKyyYR6Q21VydFLVH3TRQUabQu_ym0Zz7PgGX0-kHA/edit?usp=sharing"",""แผน!EB72"")"),10)</f>
        <v>10</v>
      </c>
      <c r="J290" s="210">
        <v>0</v>
      </c>
      <c r="K290" s="159">
        <f t="shared" ref="K290:K291" ca="1" si="131">IF(I290&gt;0,J290*100/I290,0)</f>
        <v>0</v>
      </c>
      <c r="L290" s="159"/>
      <c r="M290" s="159"/>
      <c r="N290" s="159"/>
      <c r="O290" s="159"/>
      <c r="P290" s="159"/>
    </row>
    <row r="291" spans="1:26" ht="19.5">
      <c r="A291" s="166"/>
      <c r="B291" s="167"/>
      <c r="C291" s="167"/>
      <c r="D291" s="174"/>
      <c r="E291" s="618" t="s">
        <v>133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IFERROR(__xludf.DUMMYFUNCTION("IMPORTRANGE(""https://docs.google.com/spreadsheets/d/1QqKyyYR6Q21VydFLVH3TRQUabQu_ym0Zz7PgGX0-kHA/edit?usp=sharing"",""แผน!EB72"")"),10)</f>
        <v>10</v>
      </c>
      <c r="J291" s="210">
        <v>0</v>
      </c>
      <c r="K291" s="159">
        <f t="shared" ca="1" si="131"/>
        <v>0</v>
      </c>
      <c r="L291" s="159"/>
      <c r="M291" s="159"/>
      <c r="N291" s="159"/>
      <c r="O291" s="159"/>
      <c r="P291" s="159"/>
    </row>
    <row r="292" spans="1:26" ht="19.5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IFERROR(__xludf.DUMMYFUNCTION("IMPORTRANGE(""https://docs.google.com/spreadsheets/d/1QqKyyYR6Q21VydFLVH3TRQUabQu_ym0Zz7PgGX0-kHA/edit?usp=sharing"",""แผน!EB72"")"),10)</f>
        <v>10</v>
      </c>
      <c r="J293" s="210">
        <v>0</v>
      </c>
      <c r="K293" s="159">
        <f t="shared" ref="K293:K294" ca="1" si="132">IF(I293&gt;0,J293*100/I293,0)</f>
        <v>0</v>
      </c>
      <c r="L293" s="159"/>
      <c r="M293" s="159"/>
      <c r="N293" s="159"/>
      <c r="O293" s="159"/>
      <c r="P293" s="159"/>
    </row>
    <row r="294" spans="1:26" ht="19.5">
      <c r="A294" s="375"/>
      <c r="B294" s="376"/>
      <c r="C294" s="376"/>
      <c r="D294" s="378"/>
      <c r="E294" s="724" t="s">
        <v>136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IFERROR(__xludf.DUMMYFUNCTION("IMPORTRANGE(""https://docs.google.com/spreadsheets/d/1QqKyyYR6Q21VydFLVH3TRQUabQu_ym0Zz7PgGX0-kHA/edit?usp=sharing"",""แผน!EB72"")"),10)</f>
        <v>10</v>
      </c>
      <c r="J294" s="422">
        <v>0</v>
      </c>
      <c r="K294" s="382">
        <f t="shared" ca="1" si="132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3">I309</f>
        <v>15</v>
      </c>
      <c r="J297" s="442">
        <f t="shared" si="133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4">L299+L300</f>
        <v>63800</v>
      </c>
      <c r="M298" s="151">
        <f t="shared" ca="1" si="134"/>
        <v>37840</v>
      </c>
      <c r="N298" s="151">
        <f t="shared" ca="1" si="134"/>
        <v>22828</v>
      </c>
      <c r="O298" s="151">
        <f t="shared" ref="O298:O306" ca="1" si="135">IF(L298&gt;0,N298*100/L298,0)</f>
        <v>35.780564263322887</v>
      </c>
      <c r="P298" s="151">
        <f t="shared" ref="P298:P306" ca="1" si="136">IF(M298&gt;0,N298*100/M298,0)</f>
        <v>60.327695560253702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7">L302+L305</f>
        <v>0</v>
      </c>
      <c r="M299" s="90">
        <f t="shared" si="137"/>
        <v>0</v>
      </c>
      <c r="N299" s="90">
        <f t="shared" si="137"/>
        <v>0</v>
      </c>
      <c r="O299" s="90">
        <f t="shared" si="135"/>
        <v>0</v>
      </c>
      <c r="P299" s="90">
        <f t="shared" si="136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7"/>
        <v>63800</v>
      </c>
      <c r="M300" s="90">
        <f t="shared" ca="1" si="137"/>
        <v>37840</v>
      </c>
      <c r="N300" s="90">
        <f t="shared" ca="1" si="137"/>
        <v>22828</v>
      </c>
      <c r="O300" s="90">
        <f t="shared" ca="1" si="135"/>
        <v>35.780564263322887</v>
      </c>
      <c r="P300" s="90">
        <f t="shared" ca="1" si="136"/>
        <v>60.327695560253702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8">L302+L303</f>
        <v>63800</v>
      </c>
      <c r="M301" s="495">
        <f t="shared" ca="1" si="138"/>
        <v>37840</v>
      </c>
      <c r="N301" s="495">
        <f t="shared" ca="1" si="138"/>
        <v>22828</v>
      </c>
      <c r="O301" s="495">
        <f t="shared" ca="1" si="135"/>
        <v>35.780564263322887</v>
      </c>
      <c r="P301" s="495">
        <f t="shared" ca="1" si="136"/>
        <v>60.327695560253702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5"/>
        <v>0</v>
      </c>
      <c r="P302" s="90">
        <f t="shared" si="136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IFERROR(__xludf.DUMMYFUNCTION("IMPORTRANGE(""https://docs.google.com/spreadsheets/d/1MeEWN-I1oV_STSDYn1IFDPWt_1FKiwhDph83XaGc0o0/edit?usp=sharing"",""งบพรบ!DS72"")"),63800)</f>
        <v>63800</v>
      </c>
      <c r="M303" s="90">
        <f ca="1">IFERROR(__xludf.DUMMYFUNCTION("IMPORTRANGE(""https://docs.google.com/spreadsheets/d/1MeEWN-I1oV_STSDYn1IFDPWt_1FKiwhDph83XaGc0o0/edit?usp=sharing"",""งบพรบ!DX72"")"),37840)</f>
        <v>37840</v>
      </c>
      <c r="N303" s="90">
        <f ca="1">IFERROR(__xludf.DUMMYFUNCTION("IMPORTRANGE(""https://docs.google.com/spreadsheets/d/1MeEWN-I1oV_STSDYn1IFDPWt_1FKiwhDph83XaGc0o0/edit?usp=sharing"",""งบพรบ!DZ72"")"),22828)</f>
        <v>22828</v>
      </c>
      <c r="O303" s="90">
        <f t="shared" ca="1" si="135"/>
        <v>35.780564263322887</v>
      </c>
      <c r="P303" s="90">
        <f t="shared" ca="1" si="136"/>
        <v>60.327695560253702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9">L305+L306</f>
        <v>0</v>
      </c>
      <c r="M304" s="495">
        <f t="shared" ca="1" si="139"/>
        <v>0</v>
      </c>
      <c r="N304" s="495">
        <f t="shared" ca="1" si="139"/>
        <v>0</v>
      </c>
      <c r="O304" s="495">
        <f t="shared" ca="1" si="135"/>
        <v>0</v>
      </c>
      <c r="P304" s="495">
        <f t="shared" ca="1" si="136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5"/>
        <v>0</v>
      </c>
      <c r="P305" s="90">
        <f t="shared" si="136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IFERROR(__xludf.DUMMYFUNCTION("IMPORTRANGE(""https://docs.google.com/spreadsheets/d/1MeEWN-I1oV_STSDYn1IFDPWt_1FKiwhDph83XaGc0o0/edit?usp=sharing"",""งบพรบ!DV72"")"),0)</f>
        <v>0</v>
      </c>
      <c r="M306" s="90">
        <f ca="1">IFERROR(__xludf.DUMMYFUNCTION("IMPORTRANGE(""https://docs.google.com/spreadsheets/d/1MeEWN-I1oV_STSDYn1IFDPWt_1FKiwhDph83XaGc0o0/edit?usp=sharing"",""งบพรบ!DY72"")"),0)</f>
        <v>0</v>
      </c>
      <c r="N306" s="90">
        <f ca="1">IFERROR(__xludf.DUMMYFUNCTION("IMPORTRANGE(""https://docs.google.com/spreadsheets/d/1MeEWN-I1oV_STSDYn1IFDPWt_1FKiwhDph83XaGc0o0/edit?usp=sharing"",""งบพรบ!EA72"")"),0)</f>
        <v>0</v>
      </c>
      <c r="O306" s="90">
        <f t="shared" ca="1" si="135"/>
        <v>0</v>
      </c>
      <c r="P306" s="90">
        <f t="shared" ca="1" si="136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IFERROR(__xludf.DUMMYFUNCTION("IMPORTRANGE(""https://docs.google.com/spreadsheets/d/1QqKyyYR6Q21VydFLVH3TRQUabQu_ym0Zz7PgGX0-kHA/edit?usp=sharing"",""แผน!ED72"")"),15)</f>
        <v>15</v>
      </c>
      <c r="J309" s="210">
        <v>0</v>
      </c>
      <c r="K309" s="495">
        <f t="shared" ref="K309:K312" ca="1" si="140">IF(I309&gt;0,J309*100/I309,0)</f>
        <v>0</v>
      </c>
      <c r="L309" s="495"/>
      <c r="M309" s="495"/>
      <c r="N309" s="495"/>
      <c r="O309" s="495"/>
      <c r="P309" s="495"/>
    </row>
    <row r="310" spans="1:26" ht="18.75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IFERROR(__xludf.DUMMYFUNCTION("IMPORTRANGE(""https://docs.google.com/spreadsheets/d/1QqKyyYR6Q21VydFLVH3TRQUabQu_ym0Zz7PgGX0-kHA/edit?usp=sharing"",""แผน!ED72"")"),15)</f>
        <v>15</v>
      </c>
      <c r="J310" s="210">
        <v>0</v>
      </c>
      <c r="K310" s="495">
        <f t="shared" ca="1" si="140"/>
        <v>0</v>
      </c>
      <c r="L310" s="495"/>
      <c r="M310" s="495"/>
      <c r="N310" s="495"/>
      <c r="O310" s="495"/>
      <c r="P310" s="495"/>
    </row>
    <row r="311" spans="1:26" ht="18.75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IFERROR(__xludf.DUMMYFUNCTION("IMPORTRANGE(""https://docs.google.com/spreadsheets/d/1QqKyyYR6Q21VydFLVH3TRQUabQu_ym0Zz7PgGX0-kHA/edit?usp=sharing"",""แผน!ED72"")"),15)</f>
        <v>15</v>
      </c>
      <c r="J311" s="210">
        <v>0</v>
      </c>
      <c r="K311" s="495">
        <f t="shared" ca="1" si="140"/>
        <v>0</v>
      </c>
      <c r="L311" s="495"/>
      <c r="M311" s="495"/>
      <c r="N311" s="495"/>
      <c r="O311" s="495"/>
      <c r="P311" s="495"/>
    </row>
    <row r="312" spans="1:26" ht="18.75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IFERROR(__xludf.DUMMYFUNCTION("IMPORTRANGE(""https://docs.google.com/spreadsheets/d/1QqKyyYR6Q21VydFLVH3TRQUabQu_ym0Zz7PgGX0-kHA/edit?usp=sharing"",""แผน!EE72"")"),3)</f>
        <v>3</v>
      </c>
      <c r="J312" s="210">
        <v>0</v>
      </c>
      <c r="K312" s="495">
        <f t="shared" ca="1" si="140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1">I325</f>
        <v>0</v>
      </c>
      <c r="J314" s="442">
        <f t="shared" si="141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2">L316+L317</f>
        <v>0</v>
      </c>
      <c r="M315" s="151">
        <f t="shared" ca="1" si="142"/>
        <v>0</v>
      </c>
      <c r="N315" s="151">
        <f t="shared" ca="1" si="142"/>
        <v>0</v>
      </c>
      <c r="O315" s="151">
        <f t="shared" ref="O315:O323" ca="1" si="143">IF(L315&gt;0,N315*100/L315,0)</f>
        <v>0</v>
      </c>
      <c r="P315" s="151">
        <f t="shared" ref="P315:P323" ca="1" si="144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5">L319+L322</f>
        <v>0</v>
      </c>
      <c r="M316" s="90">
        <f t="shared" si="145"/>
        <v>0</v>
      </c>
      <c r="N316" s="90">
        <f t="shared" si="145"/>
        <v>0</v>
      </c>
      <c r="O316" s="90">
        <f t="shared" si="143"/>
        <v>0</v>
      </c>
      <c r="P316" s="90">
        <f t="shared" si="144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5"/>
        <v>0</v>
      </c>
      <c r="M317" s="90">
        <f t="shared" ca="1" si="145"/>
        <v>0</v>
      </c>
      <c r="N317" s="90">
        <f t="shared" ca="1" si="145"/>
        <v>0</v>
      </c>
      <c r="O317" s="90">
        <f t="shared" ca="1" si="143"/>
        <v>0</v>
      </c>
      <c r="P317" s="90">
        <f t="shared" ca="1" si="144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6">L319+L320</f>
        <v>0</v>
      </c>
      <c r="M318" s="495">
        <f t="shared" ca="1" si="146"/>
        <v>0</v>
      </c>
      <c r="N318" s="495">
        <f t="shared" ca="1" si="146"/>
        <v>0</v>
      </c>
      <c r="O318" s="495">
        <f t="shared" ca="1" si="143"/>
        <v>0</v>
      </c>
      <c r="P318" s="495">
        <f t="shared" ca="1" si="144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3"/>
        <v>0</v>
      </c>
      <c r="P319" s="90">
        <f t="shared" si="144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IFERROR(__xludf.DUMMYFUNCTION("IMPORTRANGE(""https://docs.google.com/spreadsheets/d/1MeEWN-I1oV_STSDYn1IFDPWt_1FKiwhDph83XaGc0o0/edit?usp=sharing"",""งบพรบ!EC72"")"),0)</f>
        <v>0</v>
      </c>
      <c r="M320" s="90">
        <f ca="1">IFERROR(__xludf.DUMMYFUNCTION("IMPORTRANGE(""https://docs.google.com/spreadsheets/d/1MeEWN-I1oV_STSDYn1IFDPWt_1FKiwhDph83XaGc0o0/edit?usp=sharing"",""งบพรบ!EH72"")"),0)</f>
        <v>0</v>
      </c>
      <c r="N320" s="90">
        <f ca="1">IFERROR(__xludf.DUMMYFUNCTION("IMPORTRANGE(""https://docs.google.com/spreadsheets/d/1MeEWN-I1oV_STSDYn1IFDPWt_1FKiwhDph83XaGc0o0/edit?usp=sharing"",""งบพรบ!EJ72"")"),0)</f>
        <v>0</v>
      </c>
      <c r="O320" s="90">
        <f t="shared" ca="1" si="143"/>
        <v>0</v>
      </c>
      <c r="P320" s="90">
        <f t="shared" ca="1" si="144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7">L322+L323</f>
        <v>0</v>
      </c>
      <c r="M321" s="495">
        <f t="shared" ca="1" si="147"/>
        <v>0</v>
      </c>
      <c r="N321" s="495">
        <f t="shared" ca="1" si="147"/>
        <v>0</v>
      </c>
      <c r="O321" s="495">
        <f t="shared" ca="1" si="143"/>
        <v>0</v>
      </c>
      <c r="P321" s="495">
        <f t="shared" ca="1" si="144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3"/>
        <v>0</v>
      </c>
      <c r="P322" s="90">
        <f t="shared" si="144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IFERROR(__xludf.DUMMYFUNCTION("IMPORTRANGE(""https://docs.google.com/spreadsheets/d/1MeEWN-I1oV_STSDYn1IFDPWt_1FKiwhDph83XaGc0o0/edit?usp=sharing"",""งบพรบ!EF72"")"),0)</f>
        <v>0</v>
      </c>
      <c r="M323" s="90">
        <f ca="1">IFERROR(__xludf.DUMMYFUNCTION("IMPORTRANGE(""https://docs.google.com/spreadsheets/d/1MeEWN-I1oV_STSDYn1IFDPWt_1FKiwhDph83XaGc0o0/edit?usp=sharing"",""งบพรบ!EI72"")"),0)</f>
        <v>0</v>
      </c>
      <c r="N323" s="90">
        <f ca="1">IFERROR(__xludf.DUMMYFUNCTION("IMPORTRANGE(""https://docs.google.com/spreadsheets/d/1MeEWN-I1oV_STSDYn1IFDPWt_1FKiwhDph83XaGc0o0/edit?usp=sharing"",""งบพรบ!EK72"")"),0)</f>
        <v>0</v>
      </c>
      <c r="O323" s="90">
        <f t="shared" ca="1" si="143"/>
        <v>0</v>
      </c>
      <c r="P323" s="90">
        <f t="shared" ca="1" si="144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IFERROR(__xludf.DUMMYFUNCTION("IMPORTRANGE(""https://docs.google.com/spreadsheets/d/1QqKyyYR6Q21VydFLVH3TRQUabQu_ym0Zz7PgGX0-kHA/edit?usp=sharing"",""แผน!EF72"")"),0)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IFERROR(__xludf.DUMMYFUNCTION("IMPORTRANGE(""https://docs.google.com/spreadsheets/d/1QqKyyYR6Q21VydFLVH3TRQUabQu_ym0Zz7PgGX0-kHA/edit?usp=sharing"",""แผน!EG72"")"),2300)</f>
        <v>2300</v>
      </c>
      <c r="J327" s="442">
        <f ca="1">J338+J341+J342+J343</f>
        <v>689</v>
      </c>
      <c r="K327" s="443">
        <f ca="1">IF(I327&gt;0,J327*100/I327,0)</f>
        <v>29.956521739130434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8">L329+L330</f>
        <v>166000</v>
      </c>
      <c r="M328" s="151">
        <f t="shared" ca="1" si="148"/>
        <v>83000</v>
      </c>
      <c r="N328" s="151">
        <f t="shared" ca="1" si="148"/>
        <v>18027.62</v>
      </c>
      <c r="O328" s="151">
        <f t="shared" ref="O328:O336" ca="1" si="149">IF(L328&gt;0,N328*100/L328,0)</f>
        <v>10.860012048192772</v>
      </c>
      <c r="P328" s="151">
        <f t="shared" ref="P328:P336" ca="1" si="150">IF(M328&gt;0,N328*100/M328,0)</f>
        <v>21.720024096385544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1">L332+L335</f>
        <v>0</v>
      </c>
      <c r="M329" s="90">
        <f t="shared" si="151"/>
        <v>0</v>
      </c>
      <c r="N329" s="90">
        <f t="shared" si="151"/>
        <v>0</v>
      </c>
      <c r="O329" s="90">
        <f t="shared" si="149"/>
        <v>0</v>
      </c>
      <c r="P329" s="90">
        <f t="shared" si="150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1"/>
        <v>166000</v>
      </c>
      <c r="M330" s="90">
        <f t="shared" ca="1" si="151"/>
        <v>83000</v>
      </c>
      <c r="N330" s="90">
        <f t="shared" ca="1" si="151"/>
        <v>18027.62</v>
      </c>
      <c r="O330" s="90">
        <f t="shared" ca="1" si="149"/>
        <v>10.860012048192772</v>
      </c>
      <c r="P330" s="90">
        <f t="shared" ca="1" si="150"/>
        <v>21.720024096385544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2">L332+L333</f>
        <v>166000</v>
      </c>
      <c r="M331" s="495">
        <f t="shared" ca="1" si="152"/>
        <v>83000</v>
      </c>
      <c r="N331" s="495">
        <f t="shared" ca="1" si="152"/>
        <v>18027.62</v>
      </c>
      <c r="O331" s="495">
        <f t="shared" ca="1" si="149"/>
        <v>10.860012048192772</v>
      </c>
      <c r="P331" s="495">
        <f t="shared" ca="1" si="150"/>
        <v>21.720024096385544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9"/>
        <v>0</v>
      </c>
      <c r="P332" s="90">
        <f t="shared" si="150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IFERROR(__xludf.DUMMYFUNCTION("IMPORTRANGE(""https://docs.google.com/spreadsheets/d/1MeEWN-I1oV_STSDYn1IFDPWt_1FKiwhDph83XaGc0o0/edit?usp=sharing"",""งบพรบ!EM72"")"),166000)</f>
        <v>166000</v>
      </c>
      <c r="M333" s="90">
        <f ca="1">IFERROR(__xludf.DUMMYFUNCTION("IMPORTRANGE(""https://docs.google.com/spreadsheets/d/1MeEWN-I1oV_STSDYn1IFDPWt_1FKiwhDph83XaGc0o0/edit?usp=sharing"",""งบพรบ!ER72"")"),83000)</f>
        <v>83000</v>
      </c>
      <c r="N333" s="90">
        <f ca="1">IFERROR(__xludf.DUMMYFUNCTION("IMPORTRANGE(""https://docs.google.com/spreadsheets/d/1MeEWN-I1oV_STSDYn1IFDPWt_1FKiwhDph83XaGc0o0/edit?usp=sharing"",""งบพรบ!ET72"")"),18027.62)</f>
        <v>18027.62</v>
      </c>
      <c r="O333" s="90">
        <f t="shared" ca="1" si="149"/>
        <v>10.860012048192772</v>
      </c>
      <c r="P333" s="90">
        <f t="shared" ca="1" si="150"/>
        <v>21.720024096385544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3">L335+L336</f>
        <v>0</v>
      </c>
      <c r="M334" s="495">
        <f t="shared" ca="1" si="153"/>
        <v>0</v>
      </c>
      <c r="N334" s="495">
        <f t="shared" ca="1" si="153"/>
        <v>0</v>
      </c>
      <c r="O334" s="495">
        <f t="shared" ca="1" si="149"/>
        <v>0</v>
      </c>
      <c r="P334" s="495">
        <f t="shared" ca="1" si="150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9"/>
        <v>0</v>
      </c>
      <c r="P335" s="90">
        <f t="shared" si="150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IFERROR(__xludf.DUMMYFUNCTION("IMPORTRANGE(""https://docs.google.com/spreadsheets/d/1MeEWN-I1oV_STSDYn1IFDPWt_1FKiwhDph83XaGc0o0/edit?usp=sharing"",""งบพรบ!EP72"")"),0)</f>
        <v>0</v>
      </c>
      <c r="M336" s="90">
        <f ca="1">IFERROR(__xludf.DUMMYFUNCTION("IMPORTRANGE(""https://docs.google.com/spreadsheets/d/1MeEWN-I1oV_STSDYn1IFDPWt_1FKiwhDph83XaGc0o0/edit?usp=sharing"",""งบพรบ!ES72"")"),0)</f>
        <v>0</v>
      </c>
      <c r="N336" s="90">
        <f ca="1">IFERROR(__xludf.DUMMYFUNCTION("IMPORTRANGE(""https://docs.google.com/spreadsheets/d/1MeEWN-I1oV_STSDYn1IFDPWt_1FKiwhDph83XaGc0o0/edit?usp=sharing"",""งบพรบ!EU72"")"),0)</f>
        <v>0</v>
      </c>
      <c r="O336" s="90">
        <f t="shared" ca="1" si="149"/>
        <v>0</v>
      </c>
      <c r="P336" s="90">
        <f t="shared" ca="1" si="150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IFERROR(__xludf.DUMMYFUNCTION("IMPORTRANGE(""https://docs.google.com/spreadsheets/d/1QqKyyYR6Q21VydFLVH3TRQUabQu_ym0Zz7PgGX0-kHA/edit?usp=sharing"",""แผน!EG72"")"),2300)</f>
        <v>2300</v>
      </c>
      <c r="J338" s="264">
        <f ca="1">IFERROR(__xludf.DUMMYFUNCTION("IMPORTRANGE(""https://docs.google.com/spreadsheets/d/1kVcqe37tkHyjCSG3S0O1AXqVkqjo8mSIZil3BcpIysc/edit?usp=sharing"",""ศูนย์!D72"")"),639)</f>
        <v>639</v>
      </c>
      <c r="K338" s="495">
        <f ca="1">IF(I338&gt;0,J338*100/I338,0)</f>
        <v>27.782608695652176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IFERROR(__xludf.DUMMYFUNCTION("IMPORTRANGE(""https://docs.google.com/spreadsheets/d/1QqKyyYR6Q21VydFLVH3TRQUabQu_ym0Zz7PgGX0-kHA/edit?usp=sharing"",""แผน!EH72"")"),4)</f>
        <v>4</v>
      </c>
      <c r="J340" s="264">
        <f ca="1">IFERROR(__xludf.DUMMYFUNCTION("IMPORTRANGE(""https://docs.google.com/spreadsheets/d/1kVcqe37tkHyjCSG3S0O1AXqVkqjo8mSIZil3BcpIysc/edit?usp=sharing"",""ศูนย์!E72"")"),1)</f>
        <v>1</v>
      </c>
      <c r="K340" s="495">
        <f ca="1">IF(I340&gt;0,J340*100/I340,0)</f>
        <v>25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IFERROR(__xludf.DUMMYFUNCTION("IMPORTRANGE(""https://docs.google.com/spreadsheets/d/1kVcqe37tkHyjCSG3S0O1AXqVkqjo8mSIZil3BcpIysc/edit?usp=sharing"",""ศูนย์!F72"")"),50)</f>
        <v>50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IFERROR(__xludf.DUMMYFUNCTION("IMPORTRANGE(""https://docs.google.com/spreadsheets/d/1kVcqe37tkHyjCSG3S0O1AXqVkqjo8mSIZil3BcpIysc/edit?usp=sharing"",""ศูนย์!G72"")"),0)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IFERROR(__xludf.DUMMYFUNCTION("IMPORTRANGE(""https://docs.google.com/spreadsheets/d/1kVcqe37tkHyjCSG3S0O1AXqVkqjo8mSIZil3BcpIysc/edit?usp=sharing"",""ศูนย์!H72"")"),0)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4">L346+L347</f>
        <v>1143490</v>
      </c>
      <c r="M345" s="151">
        <f t="shared" ca="1" si="154"/>
        <v>643550</v>
      </c>
      <c r="N345" s="151">
        <f t="shared" ca="1" si="154"/>
        <v>307592.66000000003</v>
      </c>
      <c r="O345" s="151">
        <f t="shared" ref="O345:O353" ca="1" si="155">IF(L345&gt;0,N345*100/L345,0)</f>
        <v>26.899462172821803</v>
      </c>
      <c r="P345" s="151">
        <f t="shared" ref="P345:P353" ca="1" si="156">IF(M345&gt;0,N345*100/M345,0)</f>
        <v>47.79623339289877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7">L349+L352</f>
        <v>0</v>
      </c>
      <c r="M346" s="90">
        <f t="shared" si="157"/>
        <v>0</v>
      </c>
      <c r="N346" s="90">
        <f t="shared" si="157"/>
        <v>0</v>
      </c>
      <c r="O346" s="90">
        <f t="shared" si="155"/>
        <v>0</v>
      </c>
      <c r="P346" s="90">
        <f t="shared" si="156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7"/>
        <v>1143490</v>
      </c>
      <c r="M347" s="90">
        <f t="shared" ca="1" si="157"/>
        <v>643550</v>
      </c>
      <c r="N347" s="90">
        <f t="shared" ca="1" si="157"/>
        <v>307592.66000000003</v>
      </c>
      <c r="O347" s="90">
        <f t="shared" ca="1" si="155"/>
        <v>26.899462172821803</v>
      </c>
      <c r="P347" s="90">
        <f t="shared" ca="1" si="156"/>
        <v>47.79623339289877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8">L349+L350</f>
        <v>999890</v>
      </c>
      <c r="M348" s="495">
        <f t="shared" ca="1" si="158"/>
        <v>499950</v>
      </c>
      <c r="N348" s="495">
        <f t="shared" ca="1" si="158"/>
        <v>163992.66</v>
      </c>
      <c r="O348" s="495">
        <f t="shared" ca="1" si="155"/>
        <v>16.401070117712948</v>
      </c>
      <c r="P348" s="495">
        <f t="shared" ca="1" si="156"/>
        <v>32.801812181218125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5"/>
        <v>0</v>
      </c>
      <c r="P349" s="90">
        <f t="shared" si="156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IFERROR(__xludf.DUMMYFUNCTION("IMPORTRANGE(""https://docs.google.com/spreadsheets/d/1MeEWN-I1oV_STSDYn1IFDPWt_1FKiwhDph83XaGc0o0/edit?usp=sharing"",""งบพรบ!EW72"")"),999890)</f>
        <v>999890</v>
      </c>
      <c r="M350" s="90">
        <f ca="1">IFERROR(__xludf.DUMMYFUNCTION("IMPORTRANGE(""https://docs.google.com/spreadsheets/d/1MeEWN-I1oV_STSDYn1IFDPWt_1FKiwhDph83XaGc0o0/edit?usp=sharing"",""งบพรบ!FB72"")"),499950)</f>
        <v>499950</v>
      </c>
      <c r="N350" s="90">
        <f ca="1">IFERROR(__xludf.DUMMYFUNCTION("IMPORTRANGE(""https://docs.google.com/spreadsheets/d/1MeEWN-I1oV_STSDYn1IFDPWt_1FKiwhDph83XaGc0o0/edit?usp=sharing"",""งบพรบ!FD72"")"),163992.66)</f>
        <v>163992.66</v>
      </c>
      <c r="O350" s="90">
        <f t="shared" ca="1" si="155"/>
        <v>16.401070117712948</v>
      </c>
      <c r="P350" s="90">
        <f t="shared" ca="1" si="156"/>
        <v>32.801812181218125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9">L352+L353</f>
        <v>143600</v>
      </c>
      <c r="M351" s="495">
        <f t="shared" ca="1" si="159"/>
        <v>143600</v>
      </c>
      <c r="N351" s="495">
        <f t="shared" ca="1" si="159"/>
        <v>143600</v>
      </c>
      <c r="O351" s="495">
        <f t="shared" ca="1" si="155"/>
        <v>100</v>
      </c>
      <c r="P351" s="495">
        <f t="shared" ca="1" si="156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5"/>
        <v>0</v>
      </c>
      <c r="P352" s="90">
        <f t="shared" si="156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IFERROR(__xludf.DUMMYFUNCTION("IMPORTRANGE(""https://docs.google.com/spreadsheets/d/1MeEWN-I1oV_STSDYn1IFDPWt_1FKiwhDph83XaGc0o0/edit?usp=sharing"",""งบพรบ!EZ72"")"),143600)</f>
        <v>143600</v>
      </c>
      <c r="M353" s="90">
        <f ca="1">IFERROR(__xludf.DUMMYFUNCTION("IMPORTRANGE(""https://docs.google.com/spreadsheets/d/1MeEWN-I1oV_STSDYn1IFDPWt_1FKiwhDph83XaGc0o0/edit?usp=sharing"",""งบพรบ!FC72"")"),143600)</f>
        <v>143600</v>
      </c>
      <c r="N353" s="90">
        <f ca="1">IFERROR(__xludf.DUMMYFUNCTION("IMPORTRANGE(""https://docs.google.com/spreadsheets/d/1MeEWN-I1oV_STSDYn1IFDPWt_1FKiwhDph83XaGc0o0/edit?usp=sharing"",""งบพรบ!FE72"")"),143600)</f>
        <v>143600</v>
      </c>
      <c r="O353" s="90">
        <f t="shared" ca="1" si="155"/>
        <v>100</v>
      </c>
      <c r="P353" s="90">
        <f t="shared" ca="1" si="156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IFERROR(__xludf.DUMMYFUNCTION("IMPORTRANGE(""https://docs.google.com/spreadsheets/d/1QqKyyYR6Q21VydFLVH3TRQUabQu_ym0Zz7PgGX0-kHA/edit?usp=sharing"",""แผน!EP72"")"),160)</f>
        <v>160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IFERROR(__xludf.DUMMYFUNCTION("IMPORTRANGE(""https://docs.google.com/spreadsheets/d/1XWAQStnk-4SwqDmLtmXYiTMKHgktTP8We1SCoS47DrQ/edit?usp=sharing"",""จัดที่ดิน!W72"")"),43)</f>
        <v>43</v>
      </c>
      <c r="K358" s="495">
        <f t="shared" ref="K358:K365" si="160">IF(I358&gt;0,J358*100/I358,0)</f>
        <v>0</v>
      </c>
      <c r="L358" s="159"/>
      <c r="M358" s="159"/>
      <c r="N358" s="159"/>
      <c r="O358" s="159"/>
      <c r="P358" s="159"/>
    </row>
    <row r="359" spans="1:26" ht="18.75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IFERROR(__xludf.DUMMYFUNCTION("IMPORTRANGE(""https://docs.google.com/spreadsheets/d/1QqKyyYR6Q21VydFLVH3TRQUabQu_ym0Zz7PgGX0-kHA/edit?usp=sharing"",""แผน!EO72"")"),1500)</f>
        <v>1500</v>
      </c>
      <c r="J359" s="264">
        <f ca="1">IFERROR(__xludf.DUMMYFUNCTION("IMPORTRANGE(""https://docs.google.com/spreadsheets/d/1XWAQStnk-4SwqDmLtmXYiTMKHgktTP8We1SCoS47DrQ/edit?usp=sharing"",""จัดที่ดิน!X72"")"),286.12)</f>
        <v>286.12</v>
      </c>
      <c r="K359" s="495">
        <f t="shared" ca="1" si="160"/>
        <v>19.074666666666666</v>
      </c>
      <c r="L359" s="159"/>
      <c r="M359" s="159"/>
      <c r="N359" s="159"/>
      <c r="O359" s="159"/>
      <c r="P359" s="159"/>
    </row>
    <row r="360" spans="1:26" ht="18.75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IFERROR(__xludf.DUMMYFUNCTION("IMPORTRANGE(""https://docs.google.com/spreadsheets/d/1QqKyyYR6Q21VydFLVH3TRQUabQu_ym0Zz7PgGX0-kHA/edit?usp=sharing"",""แผน!EP72"")"),160)</f>
        <v>160</v>
      </c>
      <c r="J360" s="264">
        <f ca="1">IFERROR(__xludf.DUMMYFUNCTION("IMPORTRANGE(""https://docs.google.com/spreadsheets/d/1XWAQStnk-4SwqDmLtmXYiTMKHgktTP8We1SCoS47DrQ/edit?usp=sharing"",""จัดที่ดิน!Y72"")"),0)</f>
        <v>0</v>
      </c>
      <c r="K360" s="495">
        <f t="shared" ca="1" si="160"/>
        <v>0</v>
      </c>
      <c r="L360" s="159"/>
      <c r="M360" s="159"/>
      <c r="N360" s="159"/>
      <c r="O360" s="159"/>
      <c r="P360" s="159"/>
    </row>
    <row r="361" spans="1:26" ht="18.75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IFERROR(__xludf.DUMMYFUNCTION("IMPORTRANGE(""https://docs.google.com/spreadsheets/d/1XWAQStnk-4SwqDmLtmXYiTMKHgktTP8We1SCoS47DrQ/edit?usp=sharing"",""จัดที่ดิน!Z72"")"),0)</f>
        <v>0</v>
      </c>
      <c r="K361" s="495">
        <f t="shared" si="160"/>
        <v>0</v>
      </c>
      <c r="L361" s="159"/>
      <c r="M361" s="159"/>
      <c r="N361" s="159"/>
      <c r="O361" s="159"/>
      <c r="P361" s="159"/>
    </row>
    <row r="362" spans="1:26" ht="18.75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IFERROR(__xludf.DUMMYFUNCTION("IMPORTRANGE(""https://docs.google.com/spreadsheets/d/1QqKyyYR6Q21VydFLVH3TRQUabQu_ym0Zz7PgGX0-kHA/edit?usp=sharing"",""แผน!EP72"")"),160)</f>
        <v>160</v>
      </c>
      <c r="J362" s="264">
        <f ca="1">IFERROR(__xludf.DUMMYFUNCTION("IMPORTRANGE(""https://docs.google.com/spreadsheets/d/1XWAQStnk-4SwqDmLtmXYiTMKHgktTP8We1SCoS47DrQ/edit?usp=sharing"",""จัดที่ดิน!AA72"")"),0)</f>
        <v>0</v>
      </c>
      <c r="K362" s="495">
        <f t="shared" ca="1" si="160"/>
        <v>0</v>
      </c>
      <c r="L362" s="159"/>
      <c r="M362" s="159"/>
      <c r="N362" s="159"/>
      <c r="O362" s="159"/>
      <c r="P362" s="159"/>
    </row>
    <row r="363" spans="1:26" ht="18.75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IFERROR(__xludf.DUMMYFUNCTION("IMPORTRANGE(""https://docs.google.com/spreadsheets/d/1XWAQStnk-4SwqDmLtmXYiTMKHgktTP8We1SCoS47DrQ/edit?usp=sharing"",""จัดที่ดิน!AB72"")"),0)</f>
        <v>0</v>
      </c>
      <c r="K363" s="495">
        <f t="shared" si="160"/>
        <v>0</v>
      </c>
      <c r="L363" s="159"/>
      <c r="M363" s="159"/>
      <c r="N363" s="159"/>
      <c r="O363" s="159"/>
      <c r="P363" s="159"/>
    </row>
    <row r="364" spans="1:26" ht="19.5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1">I365+I374</f>
        <v>300</v>
      </c>
      <c r="J364" s="476">
        <f t="shared" ca="1" si="161"/>
        <v>15</v>
      </c>
      <c r="K364" s="477">
        <f t="shared" ca="1" si="160"/>
        <v>5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IFERROR(__xludf.DUMMYFUNCTION("IMPORTRANGE(""https://docs.google.com/spreadsheets/d/1QqKyyYR6Q21VydFLVH3TRQUabQu_ym0Zz7PgGX0-kHA/edit?usp=sharing"",""แผน!EJ72"")"),40)</f>
        <v>40</v>
      </c>
      <c r="J365" s="488">
        <f ca="1">J372</f>
        <v>0</v>
      </c>
      <c r="K365" s="489">
        <f t="shared" ca="1" si="160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IFERROR(__xludf.DUMMYFUNCTION("IMPORTRANGE(""https://docs.google.com/spreadsheets/d/1XWAQStnk-4SwqDmLtmXYiTMKHgktTP8We1SCoS47DrQ/edit?usp=sharing"",""จัดที่ดิน!E72"")"),41)</f>
        <v>41</v>
      </c>
      <c r="K368" s="495">
        <f t="shared" ref="K368:K374" si="162">IF(I368&gt;0,J368*100/I368,0)</f>
        <v>0</v>
      </c>
      <c r="L368" s="159"/>
      <c r="M368" s="159"/>
      <c r="N368" s="159"/>
      <c r="O368" s="159"/>
      <c r="P368" s="159"/>
    </row>
    <row r="369" spans="1:26" ht="18.75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IFERROR(__xludf.DUMMYFUNCTION("IMPORTRANGE(""https://docs.google.com/spreadsheets/d/1QqKyyYR6Q21VydFLVH3TRQUabQu_ym0Zz7PgGX0-kHA/edit?usp=sharing"",""แผน!EI72"")"),300)</f>
        <v>300</v>
      </c>
      <c r="J369" s="264">
        <f ca="1">IFERROR(__xludf.DUMMYFUNCTION("IMPORTRANGE(""https://docs.google.com/spreadsheets/d/1XWAQStnk-4SwqDmLtmXYiTMKHgktTP8We1SCoS47DrQ/edit?usp=sharing"",""จัดที่ดิน!F72"")"),247.8)</f>
        <v>247.8</v>
      </c>
      <c r="K369" s="495">
        <f t="shared" ca="1" si="162"/>
        <v>82.6</v>
      </c>
      <c r="L369" s="159"/>
      <c r="M369" s="159"/>
      <c r="N369" s="159"/>
      <c r="O369" s="159"/>
      <c r="P369" s="159"/>
    </row>
    <row r="370" spans="1:26" ht="18.75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IFERROR(__xludf.DUMMYFUNCTION("IMPORTRANGE(""https://docs.google.com/spreadsheets/d/1QqKyyYR6Q21VydFLVH3TRQUabQu_ym0Zz7PgGX0-kHA/edit?usp=sharing"",""แผน!EJ72"")"),40)</f>
        <v>40</v>
      </c>
      <c r="J370" s="264">
        <f ca="1">IFERROR(__xludf.DUMMYFUNCTION("IMPORTRANGE(""https://docs.google.com/spreadsheets/d/1XWAQStnk-4SwqDmLtmXYiTMKHgktTP8We1SCoS47DrQ/edit?usp=sharing"",""จัดที่ดิน!G72"")"),0)</f>
        <v>0</v>
      </c>
      <c r="K370" s="495">
        <f t="shared" ca="1" si="162"/>
        <v>0</v>
      </c>
      <c r="L370" s="159"/>
      <c r="M370" s="159"/>
      <c r="N370" s="159"/>
      <c r="O370" s="159"/>
      <c r="P370" s="159"/>
    </row>
    <row r="371" spans="1:26" ht="18.75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IFERROR(__xludf.DUMMYFUNCTION("IMPORTRANGE(""https://docs.google.com/spreadsheets/d/1XWAQStnk-4SwqDmLtmXYiTMKHgktTP8We1SCoS47DrQ/edit?usp=sharing"",""จัดที่ดิน!H72"")"),0)</f>
        <v>0</v>
      </c>
      <c r="K371" s="495">
        <f t="shared" si="162"/>
        <v>0</v>
      </c>
      <c r="L371" s="159"/>
      <c r="M371" s="159"/>
      <c r="N371" s="159"/>
      <c r="O371" s="159"/>
      <c r="P371" s="159"/>
    </row>
    <row r="372" spans="1:26" ht="18.75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IFERROR(__xludf.DUMMYFUNCTION("IMPORTRANGE(""https://docs.google.com/spreadsheets/d/1QqKyyYR6Q21VydFLVH3TRQUabQu_ym0Zz7PgGX0-kHA/edit?usp=sharing"",""แผน!EJ72"")"),40)</f>
        <v>40</v>
      </c>
      <c r="J372" s="264">
        <f ca="1">IFERROR(__xludf.DUMMYFUNCTION("IMPORTRANGE(""https://docs.google.com/spreadsheets/d/1XWAQStnk-4SwqDmLtmXYiTMKHgktTP8We1SCoS47DrQ/edit?usp=sharing"",""จัดที่ดิน!I72"")"),0)</f>
        <v>0</v>
      </c>
      <c r="K372" s="495">
        <f t="shared" ca="1" si="162"/>
        <v>0</v>
      </c>
      <c r="L372" s="159"/>
      <c r="M372" s="159"/>
      <c r="N372" s="159"/>
      <c r="O372" s="159"/>
      <c r="P372" s="159"/>
    </row>
    <row r="373" spans="1:26" ht="18.75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IFERROR(__xludf.DUMMYFUNCTION("IMPORTRANGE(""https://docs.google.com/spreadsheets/d/1XWAQStnk-4SwqDmLtmXYiTMKHgktTP8We1SCoS47DrQ/edit?usp=sharing"",""จัดที่ดิน!J72"")"),0)</f>
        <v>0</v>
      </c>
      <c r="K373" s="495">
        <f t="shared" si="162"/>
        <v>0</v>
      </c>
      <c r="L373" s="159"/>
      <c r="M373" s="159"/>
      <c r="N373" s="159"/>
      <c r="O373" s="159"/>
      <c r="P373" s="159"/>
    </row>
    <row r="374" spans="1:26" ht="19.5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IFERROR(__xludf.DUMMYFUNCTION("IMPORTRANGE(""https://docs.google.com/spreadsheets/d/1QqKyyYR6Q21VydFLVH3TRQUabQu_ym0Zz7PgGX0-kHA/edit?usp=sharing"",""แผน!EU72"")"),260)</f>
        <v>260</v>
      </c>
      <c r="J374" s="488">
        <f ca="1">J381</f>
        <v>15</v>
      </c>
      <c r="K374" s="489">
        <f t="shared" ca="1" si="162"/>
        <v>5.7692307692307692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IFERROR(__xludf.DUMMYFUNCTION("IMPORTRANGE(""https://docs.google.com/spreadsheets/d/1XWAQStnk-4SwqDmLtmXYiTMKHgktTP8We1SCoS47DrQ/edit?usp=sharing"",""จัดที่ดิน!AH72"")"),2)</f>
        <v>2</v>
      </c>
      <c r="K377" s="495">
        <f t="shared" ref="K377:K382" si="163">IF(I377&gt;0,J377*100/I377,0)</f>
        <v>0</v>
      </c>
      <c r="L377" s="159"/>
      <c r="M377" s="159"/>
      <c r="N377" s="159"/>
      <c r="O377" s="159"/>
      <c r="P377" s="159"/>
    </row>
    <row r="378" spans="1:26" ht="18.75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IFERROR(__xludf.DUMMYFUNCTION("IMPORTRANGE(""https://docs.google.com/spreadsheets/d/1QqKyyYR6Q21VydFLVH3TRQUabQu_ym0Zz7PgGX0-kHA/edit?usp=sharing"",""แผน!ET72"")"),1200)</f>
        <v>1200</v>
      </c>
      <c r="J378" s="264">
        <f ca="1">IFERROR(__xludf.DUMMYFUNCTION("IMPORTRANGE(""https://docs.google.com/spreadsheets/d/1XWAQStnk-4SwqDmLtmXYiTMKHgktTP8We1SCoS47DrQ/edit?usp=sharing"",""จัดที่ดิน!AI72"")"),38.32)</f>
        <v>38.32</v>
      </c>
      <c r="K378" s="495">
        <f t="shared" ca="1" si="163"/>
        <v>3.1933333333333334</v>
      </c>
      <c r="L378" s="159"/>
      <c r="M378" s="159"/>
      <c r="N378" s="159"/>
      <c r="O378" s="159"/>
      <c r="P378" s="159"/>
    </row>
    <row r="379" spans="1:26" ht="18.75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IFERROR(__xludf.DUMMYFUNCTION("IMPORTRANGE(""https://docs.google.com/spreadsheets/d/1QqKyyYR6Q21VydFLVH3TRQUabQu_ym0Zz7PgGX0-kHA/edit?usp=sharing"",""แผน!EU72"")"),260)</f>
        <v>260</v>
      </c>
      <c r="J379" s="264">
        <f ca="1">IFERROR(__xludf.DUMMYFUNCTION("IMPORTRANGE(""https://docs.google.com/spreadsheets/d/1XWAQStnk-4SwqDmLtmXYiTMKHgktTP8We1SCoS47DrQ/edit?usp=sharing"",""จัดที่ดิน!AJ72"")"),15)</f>
        <v>15</v>
      </c>
      <c r="K379" s="495">
        <f t="shared" ca="1" si="163"/>
        <v>5.7692307692307692</v>
      </c>
      <c r="L379" s="159"/>
      <c r="M379" s="159"/>
      <c r="N379" s="159"/>
      <c r="O379" s="159"/>
      <c r="P379" s="159"/>
    </row>
    <row r="380" spans="1:26" ht="18.75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IFERROR(__xludf.DUMMYFUNCTION("IMPORTRANGE(""https://docs.google.com/spreadsheets/d/1XWAQStnk-4SwqDmLtmXYiTMKHgktTP8We1SCoS47DrQ/edit?usp=sharing"",""จัดที่ดิน!AK72"")"),138.82)</f>
        <v>138.82</v>
      </c>
      <c r="K380" s="495">
        <f t="shared" si="163"/>
        <v>0</v>
      </c>
      <c r="L380" s="159"/>
      <c r="M380" s="159"/>
      <c r="N380" s="159"/>
      <c r="O380" s="159"/>
      <c r="P380" s="159"/>
    </row>
    <row r="381" spans="1:26" ht="18.75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IFERROR(__xludf.DUMMYFUNCTION("IMPORTRANGE(""https://docs.google.com/spreadsheets/d/1QqKyyYR6Q21VydFLVH3TRQUabQu_ym0Zz7PgGX0-kHA/edit?usp=sharing"",""แผน!EU72"")"),260)</f>
        <v>260</v>
      </c>
      <c r="J381" s="264">
        <f ca="1">IFERROR(__xludf.DUMMYFUNCTION("IMPORTRANGE(""https://docs.google.com/spreadsheets/d/1XWAQStnk-4SwqDmLtmXYiTMKHgktTP8We1SCoS47DrQ/edit?usp=sharing"",""จัดที่ดิน!AL72"")"),15)</f>
        <v>15</v>
      </c>
      <c r="K381" s="495">
        <f t="shared" ca="1" si="163"/>
        <v>5.7692307692307692</v>
      </c>
      <c r="L381" s="159"/>
      <c r="M381" s="159"/>
      <c r="N381" s="159"/>
      <c r="O381" s="159"/>
      <c r="P381" s="159"/>
    </row>
    <row r="382" spans="1:26" ht="18.75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IFERROR(__xludf.DUMMYFUNCTION("IMPORTRANGE(""https://docs.google.com/spreadsheets/d/1XWAQStnk-4SwqDmLtmXYiTMKHgktTP8We1SCoS47DrQ/edit?usp=sharing"",""จัดที่ดิน!AM72"")"),138.82)</f>
        <v>138.82</v>
      </c>
      <c r="K382" s="495">
        <f t="shared" si="163"/>
        <v>0</v>
      </c>
      <c r="L382" s="159"/>
      <c r="M382" s="159"/>
      <c r="N382" s="159"/>
      <c r="O382" s="159"/>
      <c r="P382" s="159"/>
    </row>
    <row r="383" spans="1:26" ht="19.5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IFERROR(__xludf.DUMMYFUNCTION("IMPORTRANGE(""https://docs.google.com/spreadsheets/d/1QqKyyYR6Q21VydFLVH3TRQUabQu_ym0Zz7PgGX0-kHA/edit?usp=sharing"",""แผน!EW72"")"),40)</f>
        <v>40</v>
      </c>
      <c r="J385" s="498">
        <f ca="1">IFERROR(__xludf.DUMMYFUNCTION("IMPORTRANGE(""https://docs.google.com/spreadsheets/d/1XWAQStnk-4SwqDmLtmXYiTMKHgktTP8We1SCoS47DrQ/edit?usp=sharing"",""จัดที่ดิน!AP72"")"),0)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4">I400</f>
        <v>0</v>
      </c>
      <c r="J388" s="519">
        <f t="shared" si="164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5">L390+L391</f>
        <v>0</v>
      </c>
      <c r="M389" s="151">
        <f t="shared" ca="1" si="165"/>
        <v>0</v>
      </c>
      <c r="N389" s="151">
        <f t="shared" ca="1" si="165"/>
        <v>0</v>
      </c>
      <c r="O389" s="151">
        <f t="shared" ref="O389:O397" ca="1" si="166">IF(L389&gt;0,N389*100/L389,0)</f>
        <v>0</v>
      </c>
      <c r="P389" s="151">
        <f t="shared" ref="P389:P397" ca="1" si="167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8">L393+L396</f>
        <v>0</v>
      </c>
      <c r="M390" s="90">
        <f t="shared" si="168"/>
        <v>0</v>
      </c>
      <c r="N390" s="90">
        <f t="shared" si="168"/>
        <v>0</v>
      </c>
      <c r="O390" s="90">
        <f t="shared" si="166"/>
        <v>0</v>
      </c>
      <c r="P390" s="90">
        <f t="shared" si="167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8"/>
        <v>0</v>
      </c>
      <c r="M391" s="90">
        <f t="shared" ca="1" si="168"/>
        <v>0</v>
      </c>
      <c r="N391" s="90">
        <f t="shared" ca="1" si="168"/>
        <v>0</v>
      </c>
      <c r="O391" s="90">
        <f t="shared" ca="1" si="166"/>
        <v>0</v>
      </c>
      <c r="P391" s="90">
        <f t="shared" ca="1" si="167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9">L393+L394</f>
        <v>0</v>
      </c>
      <c r="M392" s="495">
        <f t="shared" ca="1" si="169"/>
        <v>0</v>
      </c>
      <c r="N392" s="495">
        <f t="shared" ca="1" si="169"/>
        <v>0</v>
      </c>
      <c r="O392" s="495">
        <f t="shared" ca="1" si="166"/>
        <v>0</v>
      </c>
      <c r="P392" s="495">
        <f t="shared" ca="1" si="167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6"/>
        <v>0</v>
      </c>
      <c r="P393" s="90">
        <f t="shared" si="167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IFERROR(__xludf.DUMMYFUNCTION("IMPORTRANGE(""https://docs.google.com/spreadsheets/d/1MeEWN-I1oV_STSDYn1IFDPWt_1FKiwhDph83XaGc0o0/edit?usp=sharing"",""งบพรบ!FG72"")"),0)</f>
        <v>0</v>
      </c>
      <c r="M394" s="90">
        <f ca="1">IFERROR(__xludf.DUMMYFUNCTION("IMPORTRANGE(""https://docs.google.com/spreadsheets/d/1MeEWN-I1oV_STSDYn1IFDPWt_1FKiwhDph83XaGc0o0/edit?usp=sharing"",""งบพรบ!FL72"")"),0)</f>
        <v>0</v>
      </c>
      <c r="N394" s="90">
        <f ca="1">IFERROR(__xludf.DUMMYFUNCTION("IMPORTRANGE(""https://docs.google.com/spreadsheets/d/1MeEWN-I1oV_STSDYn1IFDPWt_1FKiwhDph83XaGc0o0/edit?usp=sharing"",""งบพรบ!FN72"")"),0)</f>
        <v>0</v>
      </c>
      <c r="O394" s="90">
        <f t="shared" ca="1" si="166"/>
        <v>0</v>
      </c>
      <c r="P394" s="90">
        <f t="shared" ca="1" si="167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70">L396+L397</f>
        <v>0</v>
      </c>
      <c r="M395" s="495">
        <f t="shared" ca="1" si="170"/>
        <v>0</v>
      </c>
      <c r="N395" s="495">
        <f t="shared" ca="1" si="170"/>
        <v>0</v>
      </c>
      <c r="O395" s="495">
        <f t="shared" ca="1" si="166"/>
        <v>0</v>
      </c>
      <c r="P395" s="495">
        <f t="shared" ca="1" si="167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6"/>
        <v>0</v>
      </c>
      <c r="P396" s="90">
        <f t="shared" si="167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IFERROR(__xludf.DUMMYFUNCTION("IMPORTRANGE(""https://docs.google.com/spreadsheets/d/1MeEWN-I1oV_STSDYn1IFDPWt_1FKiwhDph83XaGc0o0/edit?usp=sharing"",""งบพรบ!FJ72"")"),0)</f>
        <v>0</v>
      </c>
      <c r="M397" s="90">
        <f ca="1">IFERROR(__xludf.DUMMYFUNCTION("IMPORTRANGE(""https://docs.google.com/spreadsheets/d/1MeEWN-I1oV_STSDYn1IFDPWt_1FKiwhDph83XaGc0o0/edit?usp=sharing"",""งบพรบ!FM72"")"),0)</f>
        <v>0</v>
      </c>
      <c r="N397" s="90">
        <f ca="1">IFERROR(__xludf.DUMMYFUNCTION("IMPORTRANGE(""https://docs.google.com/spreadsheets/d/1MeEWN-I1oV_STSDYn1IFDPWt_1FKiwhDph83XaGc0o0/edit?usp=sharing"",""งบพรบ!FO72"")"),0)</f>
        <v>0</v>
      </c>
      <c r="O397" s="90">
        <f t="shared" ca="1" si="166"/>
        <v>0</v>
      </c>
      <c r="P397" s="90">
        <f t="shared" ca="1" si="167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1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1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2">I412</f>
        <v>0</v>
      </c>
      <c r="J401" s="519">
        <f t="shared" si="172"/>
        <v>0</v>
      </c>
      <c r="K401" s="520">
        <f t="shared" si="171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3">L403+L404</f>
        <v>0</v>
      </c>
      <c r="M402" s="151">
        <f t="shared" ca="1" si="173"/>
        <v>0</v>
      </c>
      <c r="N402" s="151">
        <f t="shared" ca="1" si="173"/>
        <v>0</v>
      </c>
      <c r="O402" s="151">
        <f t="shared" ref="O402:O410" ca="1" si="174">IF(L402&gt;0,N402*100/L402,0)</f>
        <v>0</v>
      </c>
      <c r="P402" s="151">
        <f t="shared" ref="P402:P410" ca="1" si="175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6">L406+L409</f>
        <v>0</v>
      </c>
      <c r="M403" s="90">
        <f t="shared" si="176"/>
        <v>0</v>
      </c>
      <c r="N403" s="90">
        <f t="shared" si="176"/>
        <v>0</v>
      </c>
      <c r="O403" s="90">
        <f t="shared" si="174"/>
        <v>0</v>
      </c>
      <c r="P403" s="90">
        <f t="shared" si="175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6"/>
        <v>0</v>
      </c>
      <c r="M404" s="90">
        <f t="shared" ca="1" si="176"/>
        <v>0</v>
      </c>
      <c r="N404" s="90">
        <f t="shared" ca="1" si="176"/>
        <v>0</v>
      </c>
      <c r="O404" s="90">
        <f t="shared" ca="1" si="174"/>
        <v>0</v>
      </c>
      <c r="P404" s="90">
        <f t="shared" ca="1" si="175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7">L406+L407</f>
        <v>0</v>
      </c>
      <c r="M405" s="495">
        <f t="shared" ca="1" si="177"/>
        <v>0</v>
      </c>
      <c r="N405" s="495">
        <f t="shared" ca="1" si="177"/>
        <v>0</v>
      </c>
      <c r="O405" s="495">
        <f t="shared" ca="1" si="174"/>
        <v>0</v>
      </c>
      <c r="P405" s="495">
        <f t="shared" ca="1" si="175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4"/>
        <v>0</v>
      </c>
      <c r="P406" s="90">
        <f t="shared" si="175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IFERROR(__xludf.DUMMYFUNCTION("IMPORTRANGE(""https://docs.google.com/spreadsheets/d/1MeEWN-I1oV_STSDYn1IFDPWt_1FKiwhDph83XaGc0o0/edit?usp=sharing"",""งบพรบ!FQ72"")"),0)</f>
        <v>0</v>
      </c>
      <c r="M407" s="90">
        <f ca="1">IFERROR(__xludf.DUMMYFUNCTION("IMPORTRANGE(""https://docs.google.com/spreadsheets/d/1MeEWN-I1oV_STSDYn1IFDPWt_1FKiwhDph83XaGc0o0/edit?usp=sharing"",""งบพรบ!FV72"")"),0)</f>
        <v>0</v>
      </c>
      <c r="N407" s="90">
        <f ca="1">IFERROR(__xludf.DUMMYFUNCTION("IMPORTRANGE(""https://docs.google.com/spreadsheets/d/1MeEWN-I1oV_STSDYn1IFDPWt_1FKiwhDph83XaGc0o0/edit?usp=sharing"",""งบพรบ!FX72"")"),0)</f>
        <v>0</v>
      </c>
      <c r="O407" s="90">
        <f t="shared" ca="1" si="174"/>
        <v>0</v>
      </c>
      <c r="P407" s="90">
        <f t="shared" ca="1" si="175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8">L409+L410</f>
        <v>0</v>
      </c>
      <c r="M408" s="495">
        <f t="shared" ca="1" si="178"/>
        <v>0</v>
      </c>
      <c r="N408" s="495">
        <f t="shared" ca="1" si="178"/>
        <v>0</v>
      </c>
      <c r="O408" s="495">
        <f t="shared" ca="1" si="174"/>
        <v>0</v>
      </c>
      <c r="P408" s="495">
        <f t="shared" ca="1" si="175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4"/>
        <v>0</v>
      </c>
      <c r="P409" s="90">
        <f t="shared" si="175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IFERROR(__xludf.DUMMYFUNCTION("IMPORTRANGE(""https://docs.google.com/spreadsheets/d/1MeEWN-I1oV_STSDYn1IFDPWt_1FKiwhDph83XaGc0o0/edit?usp=sharing"",""งบพรบ!FT72"")"),0)</f>
        <v>0</v>
      </c>
      <c r="M410" s="90">
        <f ca="1">IFERROR(__xludf.DUMMYFUNCTION("IMPORTRANGE(""https://docs.google.com/spreadsheets/d/1MeEWN-I1oV_STSDYn1IFDPWt_1FKiwhDph83XaGc0o0/edit?usp=sharing"",""งบพรบ!FW72"")"),0)</f>
        <v>0</v>
      </c>
      <c r="N410" s="90">
        <f ca="1">IFERROR(__xludf.DUMMYFUNCTION("IMPORTRANGE(""https://docs.google.com/spreadsheets/d/1MeEWN-I1oV_STSDYn1IFDPWt_1FKiwhDph83XaGc0o0/edit?usp=sharing"",""งบพรบ!FY72"")"),0)</f>
        <v>0</v>
      </c>
      <c r="O410" s="90">
        <f t="shared" ca="1" si="174"/>
        <v>0</v>
      </c>
      <c r="P410" s="90">
        <f t="shared" ca="1" si="175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9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9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80">L419+L444+L467+L502+L523+L544+L629+L655+L685+L737+L754+L770+L786+L805</f>
        <v>1629348</v>
      </c>
      <c r="M414" s="546">
        <f t="shared" si="180"/>
        <v>0</v>
      </c>
      <c r="N414" s="546">
        <f t="shared" si="180"/>
        <v>0</v>
      </c>
      <c r="O414" s="546">
        <f ca="1">IF(L414&gt;0,N414*100/L414,0)</f>
        <v>0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1">I433</f>
        <v>60</v>
      </c>
      <c r="J417" s="562">
        <f t="shared" ca="1" si="181"/>
        <v>0</v>
      </c>
      <c r="K417" s="563">
        <f t="shared" ref="K417:K418" ca="1" si="182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1"/>
        <v>2</v>
      </c>
      <c r="J418" s="562">
        <f t="shared" si="181"/>
        <v>0</v>
      </c>
      <c r="K418" s="563">
        <f t="shared" ca="1" si="182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3">L420+L421</f>
        <v>188600</v>
      </c>
      <c r="M419" s="151">
        <f t="shared" si="183"/>
        <v>0</v>
      </c>
      <c r="N419" s="151">
        <f t="shared" si="183"/>
        <v>0</v>
      </c>
      <c r="O419" s="151">
        <f t="shared" ref="O419:O424" ca="1" si="184">IF(L419&gt;0,N419*100/L419,0)</f>
        <v>0</v>
      </c>
      <c r="P419" s="151">
        <f t="shared" ref="P419:P424" si="185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6">L423+L430</f>
        <v>0</v>
      </c>
      <c r="M420" s="90">
        <f t="shared" si="186"/>
        <v>0</v>
      </c>
      <c r="N420" s="90">
        <f t="shared" si="186"/>
        <v>0</v>
      </c>
      <c r="O420" s="90">
        <f t="shared" si="184"/>
        <v>0</v>
      </c>
      <c r="P420" s="90">
        <f t="shared" si="185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6"/>
        <v>188600</v>
      </c>
      <c r="M421" s="90">
        <f t="shared" si="186"/>
        <v>0</v>
      </c>
      <c r="N421" s="90">
        <f t="shared" si="186"/>
        <v>0</v>
      </c>
      <c r="O421" s="90">
        <f t="shared" ca="1" si="184"/>
        <v>0</v>
      </c>
      <c r="P421" s="90">
        <f t="shared" si="185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7">L423+L424</f>
        <v>188600</v>
      </c>
      <c r="M422" s="495">
        <f t="shared" si="187"/>
        <v>0</v>
      </c>
      <c r="N422" s="495">
        <f t="shared" si="187"/>
        <v>0</v>
      </c>
      <c r="O422" s="495">
        <f t="shared" ca="1" si="184"/>
        <v>0</v>
      </c>
      <c r="P422" s="495">
        <f t="shared" si="185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4"/>
        <v>0</v>
      </c>
      <c r="P423" s="90">
        <f t="shared" si="185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IFERROR(__xludf.DUMMYFUNCTION("IMPORTRANGE(""https://docs.google.com/spreadsheets/d/1QqKyyYR6Q21VydFLVH3TRQUabQu_ym0Zz7PgGX0-kHA/edit?usp=sharing"",""แผน!EY72"")"),188600)</f>
        <v>188600</v>
      </c>
      <c r="M424" s="90">
        <v>0</v>
      </c>
      <c r="N424" s="90">
        <f>N425+N426+N427+N428</f>
        <v>0</v>
      </c>
      <c r="O424" s="90">
        <f t="shared" ca="1" si="184"/>
        <v>0</v>
      </c>
      <c r="P424" s="90">
        <f t="shared" si="185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8">L430+L431</f>
        <v>0</v>
      </c>
      <c r="M429" s="495">
        <f t="shared" si="188"/>
        <v>0</v>
      </c>
      <c r="N429" s="495">
        <f t="shared" si="188"/>
        <v>0</v>
      </c>
      <c r="O429" s="495">
        <f t="shared" ref="O429:O431" ca="1" si="189">IF(L429&gt;0,N429*100/L429,0)</f>
        <v>0</v>
      </c>
      <c r="P429" s="495">
        <f t="shared" ref="P429:P431" si="190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9"/>
        <v>0</v>
      </c>
      <c r="P430" s="90">
        <f t="shared" si="190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IFERROR(__xludf.DUMMYFUNCTION("IMPORTRANGE(""https://docs.google.com/spreadsheets/d/1QqKyyYR6Q21VydFLVH3TRQUabQu_ym0Zz7PgGX0-kHA/edit?usp=sharing"",""แผน!FB72"")"),0)</f>
        <v>0</v>
      </c>
      <c r="M431" s="90">
        <v>0</v>
      </c>
      <c r="N431" s="90">
        <v>0</v>
      </c>
      <c r="O431" s="90">
        <f t="shared" ca="1" si="189"/>
        <v>0</v>
      </c>
      <c r="P431" s="90">
        <f t="shared" si="190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60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1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2">I438+I440</f>
        <v>2</v>
      </c>
      <c r="J434" s="673">
        <f t="shared" si="192"/>
        <v>0</v>
      </c>
      <c r="K434" s="191">
        <f t="shared" ca="1" si="191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IFERROR(__xludf.DUMMYFUNCTION("IMPORTRANGE(""https://docs.google.com/spreadsheets/d/1QqKyyYR6Q21VydFLVH3TRQUabQu_ym0Zz7PgGX0-kHA/edit?usp=sharing"",""แผน!FC72"")"),60)</f>
        <v>60</v>
      </c>
      <c r="J435" s="576">
        <v>0</v>
      </c>
      <c r="K435" s="495">
        <f t="shared" ca="1" si="191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IFERROR(__xludf.DUMMYFUNCTION("IMPORTRANGE(""https://docs.google.com/spreadsheets/d/1QqKyyYR6Q21VydFLVH3TRQUabQu_ym0Zz7PgGX0-kHA/edit?usp=sharing"",""แผน!FD72"")"),40)</f>
        <v>40</v>
      </c>
      <c r="J437" s="576">
        <v>0</v>
      </c>
      <c r="K437" s="495">
        <f t="shared" ref="K437:K443" ca="1" si="193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IFERROR(__xludf.DUMMYFUNCTION("IMPORTRANGE(""https://docs.google.com/spreadsheets/d/1QqKyyYR6Q21VydFLVH3TRQUabQu_ym0Zz7PgGX0-kHA/edit?usp=sharing"",""แผน!FE72"")"),1)</f>
        <v>1</v>
      </c>
      <c r="J438" s="210">
        <v>0</v>
      </c>
      <c r="K438" s="495">
        <f t="shared" ca="1" si="193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IFERROR(__xludf.DUMMYFUNCTION("IMPORTRANGE(""https://docs.google.com/spreadsheets/d/1QqKyyYR6Q21VydFLVH3TRQUabQu_ym0Zz7PgGX0-kHA/edit?usp=sharing"",""แผน!FF72"")"),20)</f>
        <v>20</v>
      </c>
      <c r="J439" s="576">
        <v>0</v>
      </c>
      <c r="K439" s="495">
        <f t="shared" ca="1" si="193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IFERROR(__xludf.DUMMYFUNCTION("IMPORTRANGE(""https://docs.google.com/spreadsheets/d/1QqKyyYR6Q21VydFLVH3TRQUabQu_ym0Zz7PgGX0-kHA/edit?usp=sharing"",""แผน!FG72"")"),1)</f>
        <v>1</v>
      </c>
      <c r="J440" s="210">
        <v>0</v>
      </c>
      <c r="K440" s="495">
        <f t="shared" ca="1" si="193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 hidden="1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IFERROR(__xludf.DUMMYFUNCTION("IMPORTRANGE(""https://docs.google.com/spreadsheets/d/1QqKyyYR6Q21VydFLVH3TRQUabQu_ym0Zz7PgGX0-kHA/edit?usp=sharing"",""แผน!FH72"")"),0)</f>
        <v>0</v>
      </c>
      <c r="J441" s="264">
        <v>0</v>
      </c>
      <c r="K441" s="495">
        <f t="shared" ca="1" si="193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4">I460</f>
        <v>40</v>
      </c>
      <c r="J442" s="582">
        <f t="shared" si="194"/>
        <v>0</v>
      </c>
      <c r="K442" s="583">
        <f t="shared" ca="1" si="193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5">I462</f>
        <v>60</v>
      </c>
      <c r="J443" s="562">
        <f t="shared" si="195"/>
        <v>0</v>
      </c>
      <c r="K443" s="563">
        <f t="shared" ca="1" si="193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6">L445+L446</f>
        <v>309180</v>
      </c>
      <c r="M444" s="191">
        <f t="shared" si="196"/>
        <v>0</v>
      </c>
      <c r="N444" s="191">
        <f t="shared" si="196"/>
        <v>0</v>
      </c>
      <c r="O444" s="191">
        <f t="shared" ref="O444:O449" ca="1" si="197">IF(L444&gt;0,N444*100/L444,0)</f>
        <v>0</v>
      </c>
      <c r="P444" s="191">
        <f t="shared" ref="P444:P449" si="198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9">L448+L455</f>
        <v>0</v>
      </c>
      <c r="M445" s="90">
        <f t="shared" si="199"/>
        <v>0</v>
      </c>
      <c r="N445" s="90">
        <f t="shared" si="199"/>
        <v>0</v>
      </c>
      <c r="O445" s="90">
        <f t="shared" si="197"/>
        <v>0</v>
      </c>
      <c r="P445" s="90">
        <f t="shared" si="198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9"/>
        <v>309180</v>
      </c>
      <c r="M446" s="90">
        <f t="shared" si="199"/>
        <v>0</v>
      </c>
      <c r="N446" s="90">
        <f t="shared" si="199"/>
        <v>0</v>
      </c>
      <c r="O446" s="90">
        <f t="shared" ca="1" si="197"/>
        <v>0</v>
      </c>
      <c r="P446" s="90">
        <f t="shared" si="198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200">L448+L449</f>
        <v>309180</v>
      </c>
      <c r="M447" s="495">
        <f t="shared" si="200"/>
        <v>0</v>
      </c>
      <c r="N447" s="495">
        <f t="shared" si="200"/>
        <v>0</v>
      </c>
      <c r="O447" s="495">
        <f t="shared" ca="1" si="197"/>
        <v>0</v>
      </c>
      <c r="P447" s="495">
        <f t="shared" si="198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7"/>
        <v>0</v>
      </c>
      <c r="P448" s="90">
        <f t="shared" si="198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IFERROR(__xludf.DUMMYFUNCTION("IMPORTRANGE(""https://docs.google.com/spreadsheets/d/1QqKyyYR6Q21VydFLVH3TRQUabQu_ym0Zz7PgGX0-kHA/edit?usp=sharing"",""แผน!FJ72"")"),309180)</f>
        <v>309180</v>
      </c>
      <c r="M449" s="90">
        <v>0</v>
      </c>
      <c r="N449" s="90">
        <f>N450+N451+N452+N453</f>
        <v>0</v>
      </c>
      <c r="O449" s="90">
        <f t="shared" ca="1" si="197"/>
        <v>0</v>
      </c>
      <c r="P449" s="90">
        <f t="shared" si="198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1">L455+L456</f>
        <v>0</v>
      </c>
      <c r="M454" s="495">
        <f t="shared" si="201"/>
        <v>0</v>
      </c>
      <c r="N454" s="495">
        <f t="shared" si="201"/>
        <v>0</v>
      </c>
      <c r="O454" s="495">
        <f t="shared" ref="O454:O456" ca="1" si="202">IF(L454&gt;0,N454*100/L454,0)</f>
        <v>0</v>
      </c>
      <c r="P454" s="495">
        <f t="shared" ref="P454:P456" si="203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2"/>
        <v>0</v>
      </c>
      <c r="P455" s="90">
        <f t="shared" si="203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IFERROR(__xludf.DUMMYFUNCTION("IMPORTRANGE(""https://docs.google.com/spreadsheets/d/1QqKyyYR6Q21VydFLVH3TRQUabQu_ym0Zz7PgGX0-kHA/edit?usp=sharing"",""แผน!FM72"")"),0)</f>
        <v>0</v>
      </c>
      <c r="M456" s="90">
        <v>0</v>
      </c>
      <c r="N456" s="90">
        <v>0</v>
      </c>
      <c r="O456" s="90">
        <f t="shared" ca="1" si="202"/>
        <v>0</v>
      </c>
      <c r="P456" s="90">
        <f t="shared" si="203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IFERROR(__xludf.DUMMYFUNCTION("IMPORTRANGE(""https://docs.google.com/spreadsheets/d/1QqKyyYR6Q21VydFLVH3TRQUabQu_ym0Zz7PgGX0-kHA/edit?usp=sharing"",""แผน!FN72"")"),40)</f>
        <v>40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IFERROR(__xludf.DUMMYFUNCTION("IMPORTRANGE(""https://docs.google.com/spreadsheets/d/1QqKyyYR6Q21VydFLVH3TRQUabQu_ym0Zz7PgGX0-kHA/edit?usp=sharing"",""แผน!FO72"")"),60)</f>
        <v>60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IFERROR(__xludf.DUMMYFUNCTION("IMPORTRANGE(""https://docs.google.com/spreadsheets/d/1QqKyyYR6Q21VydFLVH3TRQUabQu_ym0Zz7PgGX0-kHA/edit?usp=sharing"",""แผน!FO72"")"),60)</f>
        <v>60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IFERROR(__xludf.DUMMYFUNCTION("IMPORTRANGE(""https://docs.google.com/spreadsheets/d/1QqKyyYR6Q21VydFLVH3TRQUabQu_ym0Zz7PgGX0-kHA/edit?usp=sharing"",""แผน!FN72"")"),40)</f>
        <v>40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IFERROR(__xludf.DUMMYFUNCTION("IMPORTRANGE(""https://docs.google.com/spreadsheets/d/1QqKyyYR6Q21VydFLVH3TRQUabQu_ym0Zz7PgGX0-kHA/edit?usp=sharing"",""แผน!FX72"")"),41)</f>
        <v>41</v>
      </c>
      <c r="J465" s="582">
        <f>J485+J489+J492</f>
        <v>0</v>
      </c>
      <c r="K465" s="583">
        <f t="shared" ref="K465:K466" ca="1" si="204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IFERROR(__xludf.DUMMYFUNCTION("IMPORTRANGE(""https://docs.google.com/spreadsheets/d/1QqKyyYR6Q21VydFLVH3TRQUabQu_ym0Zz7PgGX0-kHA/edit?usp=sharing"",""แผน!FW72"")"),400)</f>
        <v>400</v>
      </c>
      <c r="J466" s="562">
        <f>J483+J487</f>
        <v>0</v>
      </c>
      <c r="K466" s="563">
        <f t="shared" ca="1" si="204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5">L468+L469</f>
        <v>327863</v>
      </c>
      <c r="M467" s="191">
        <f t="shared" si="205"/>
        <v>0</v>
      </c>
      <c r="N467" s="191">
        <f t="shared" si="205"/>
        <v>0</v>
      </c>
      <c r="O467" s="191">
        <f t="shared" ref="O467:O472" ca="1" si="206">IF(L467&gt;0,N467*100/L467,0)</f>
        <v>0</v>
      </c>
      <c r="P467" s="191">
        <f t="shared" ref="P467:P472" si="207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8">L471+L478</f>
        <v>0</v>
      </c>
      <c r="M468" s="90">
        <f t="shared" si="208"/>
        <v>0</v>
      </c>
      <c r="N468" s="90">
        <f t="shared" si="208"/>
        <v>0</v>
      </c>
      <c r="O468" s="90">
        <f t="shared" si="206"/>
        <v>0</v>
      </c>
      <c r="P468" s="90">
        <f t="shared" si="207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8"/>
        <v>327863</v>
      </c>
      <c r="M469" s="90">
        <f t="shared" si="208"/>
        <v>0</v>
      </c>
      <c r="N469" s="90">
        <f t="shared" si="208"/>
        <v>0</v>
      </c>
      <c r="O469" s="90">
        <f t="shared" ca="1" si="206"/>
        <v>0</v>
      </c>
      <c r="P469" s="90">
        <f t="shared" si="207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9">L471+L472</f>
        <v>327863</v>
      </c>
      <c r="M470" s="495">
        <f t="shared" si="209"/>
        <v>0</v>
      </c>
      <c r="N470" s="495">
        <f t="shared" si="209"/>
        <v>0</v>
      </c>
      <c r="O470" s="495">
        <f t="shared" ca="1" si="206"/>
        <v>0</v>
      </c>
      <c r="P470" s="495">
        <f t="shared" si="207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6"/>
        <v>0</v>
      </c>
      <c r="P471" s="90">
        <f t="shared" si="207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IFERROR(__xludf.DUMMYFUNCTION("IMPORTRANGE(""https://docs.google.com/spreadsheets/d/1QqKyyYR6Q21VydFLVH3TRQUabQu_ym0Zz7PgGX0-kHA/edit?usp=sharing"",""แผน!FS72"")"),327863)</f>
        <v>327863</v>
      </c>
      <c r="M472" s="90">
        <v>0</v>
      </c>
      <c r="N472" s="90">
        <f>N473+N474+N475+N476</f>
        <v>0</v>
      </c>
      <c r="O472" s="90">
        <f t="shared" ca="1" si="206"/>
        <v>0</v>
      </c>
      <c r="P472" s="90">
        <f t="shared" si="207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10">L478+L479</f>
        <v>0</v>
      </c>
      <c r="M477" s="495">
        <f t="shared" si="210"/>
        <v>0</v>
      </c>
      <c r="N477" s="495">
        <f t="shared" si="210"/>
        <v>0</v>
      </c>
      <c r="O477" s="495">
        <f t="shared" ref="O477:O479" ca="1" si="211">IF(L477&gt;0,N477*100/L477,0)</f>
        <v>0</v>
      </c>
      <c r="P477" s="495">
        <f t="shared" ref="P477:P479" si="212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1"/>
        <v>0</v>
      </c>
      <c r="P478" s="90">
        <f t="shared" si="212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IFERROR(__xludf.DUMMYFUNCTION("IMPORTRANGE(""https://docs.google.com/spreadsheets/d/1QqKyyYR6Q21VydFLVH3TRQUabQu_ym0Zz7PgGX0-kHA/edit?usp=sharing"",""แผน!FV72"")"),0)</f>
        <v>0</v>
      </c>
      <c r="M479" s="90">
        <v>0</v>
      </c>
      <c r="N479" s="90">
        <v>0</v>
      </c>
      <c r="O479" s="90">
        <f t="shared" ca="1" si="211"/>
        <v>0</v>
      </c>
      <c r="P479" s="90">
        <f t="shared" si="212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IFERROR(__xludf.DUMMYFUNCTION("IMPORTRANGE(""https://docs.google.com/spreadsheets/d/1QqKyyYR6Q21VydFLVH3TRQUabQu_ym0Zz7PgGX0-kHA/edit?usp=sharing"",""แผน!FY72"")"),360)</f>
        <v>360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IFERROR(__xludf.DUMMYFUNCTION("IMPORTRANGE(""https://docs.google.com/spreadsheets/d/1QqKyyYR6Q21VydFLVH3TRQUabQu_ym0Zz7PgGX0-kHA/edit?usp=sharing"",""แผน!FZ72"")"),36)</f>
        <v>36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IFERROR(__xludf.DUMMYFUNCTION("IMPORTRANGE(""https://docs.google.com/spreadsheets/d/1QqKyyYR6Q21VydFLVH3TRQUabQu_ym0Zz7PgGX0-kHA/edit?usp=sharing"",""แผน!GA72"")"),40)</f>
        <v>40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IFERROR(__xludf.DUMMYFUNCTION("IMPORTRANGE(""https://docs.google.com/spreadsheets/d/1QqKyyYR6Q21VydFLVH3TRQUabQu_ym0Zz7PgGX0-kHA/edit?usp=sharing"",""แผน!GB72"")"),4)</f>
        <v>4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IFERROR(__xludf.DUMMYFUNCTION("IMPORTRANGE(""https://docs.google.com/spreadsheets/d/1QqKyyYR6Q21VydFLVH3TRQUabQu_ym0Zz7PgGX0-kHA/edit?usp=sharing"",""แผน!GC72"")"),1)</f>
        <v>1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IFERROR(__xludf.DUMMYFUNCTION("IMPORTRANGE(""https://docs.google.com/spreadsheets/d/1QqKyyYR6Q21VydFLVH3TRQUabQu_ym0Zz7PgGX0-kHA/edit?usp=sharing"",""แผน!FY72"")"),360)</f>
        <v>360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IFERROR(__xludf.DUMMYFUNCTION("IMPORTRANGE(""https://docs.google.com/spreadsheets/d/1QqKyyYR6Q21VydFLVH3TRQUabQu_ym0Zz7PgGX0-kHA/edit?usp=sharing"",""แผน!GA72"")"),40)</f>
        <v>40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3">J516</f>
        <v>0</v>
      </c>
      <c r="K500" s="626">
        <f t="shared" ref="K500:K501" si="214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3"/>
        <v>0</v>
      </c>
      <c r="K501" s="635">
        <f t="shared" si="214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5">L503+L504</f>
        <v>0</v>
      </c>
      <c r="M502" s="639">
        <f t="shared" si="215"/>
        <v>0</v>
      </c>
      <c r="N502" s="639">
        <f t="shared" si="215"/>
        <v>0</v>
      </c>
      <c r="O502" s="639">
        <f t="shared" ref="O502:O507" si="216">IF(L502&gt;0,N502*100/L502,0)</f>
        <v>0</v>
      </c>
      <c r="P502" s="639">
        <f t="shared" ref="P502:P507" si="217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8">L506+L513</f>
        <v>0</v>
      </c>
      <c r="M503" s="90">
        <f t="shared" si="218"/>
        <v>0</v>
      </c>
      <c r="N503" s="90">
        <f t="shared" si="218"/>
        <v>0</v>
      </c>
      <c r="O503" s="90">
        <f t="shared" si="216"/>
        <v>0</v>
      </c>
      <c r="P503" s="90">
        <f t="shared" si="217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8"/>
        <v>0</v>
      </c>
      <c r="M504" s="90">
        <f t="shared" si="218"/>
        <v>0</v>
      </c>
      <c r="N504" s="90">
        <f t="shared" si="218"/>
        <v>0</v>
      </c>
      <c r="O504" s="90">
        <f t="shared" si="216"/>
        <v>0</v>
      </c>
      <c r="P504" s="90">
        <f t="shared" si="217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9">L506+L507</f>
        <v>0</v>
      </c>
      <c r="M505" s="90">
        <f t="shared" si="219"/>
        <v>0</v>
      </c>
      <c r="N505" s="90">
        <f t="shared" si="219"/>
        <v>0</v>
      </c>
      <c r="O505" s="90">
        <f t="shared" si="216"/>
        <v>0</v>
      </c>
      <c r="P505" s="90">
        <f t="shared" si="217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6"/>
        <v>0</v>
      </c>
      <c r="P506" s="90">
        <f t="shared" si="217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6"/>
        <v>0</v>
      </c>
      <c r="P507" s="90">
        <f t="shared" si="217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20">L513+L514</f>
        <v>0</v>
      </c>
      <c r="M512" s="90">
        <f t="shared" si="220"/>
        <v>0</v>
      </c>
      <c r="N512" s="90">
        <f t="shared" si="220"/>
        <v>0</v>
      </c>
      <c r="O512" s="90">
        <f t="shared" ref="O512:O514" si="221">IF(L512&gt;0,N512*100/L512,0)</f>
        <v>0</v>
      </c>
      <c r="P512" s="90">
        <f t="shared" ref="P512:P514" si="222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1"/>
        <v>0</v>
      </c>
      <c r="P513" s="90">
        <f t="shared" si="222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1"/>
        <v>0</v>
      </c>
      <c r="P514" s="90">
        <f t="shared" si="222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3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3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 hidden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4">I537</f>
        <v>0</v>
      </c>
      <c r="J522" s="698">
        <f t="shared" ca="1" si="224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5">L524+L525</f>
        <v>0</v>
      </c>
      <c r="M523" s="191">
        <f t="shared" si="225"/>
        <v>0</v>
      </c>
      <c r="N523" s="191">
        <f t="shared" si="225"/>
        <v>0</v>
      </c>
      <c r="O523" s="191">
        <f t="shared" ref="O523:O528" ca="1" si="226">IF(L523&gt;0,N523*100/L523,0)</f>
        <v>0</v>
      </c>
      <c r="P523" s="191">
        <f t="shared" ref="P523:P528" si="227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8">L527+L534</f>
        <v>0</v>
      </c>
      <c r="M524" s="90">
        <f t="shared" si="228"/>
        <v>0</v>
      </c>
      <c r="N524" s="90">
        <f t="shared" si="228"/>
        <v>0</v>
      </c>
      <c r="O524" s="90">
        <f t="shared" si="226"/>
        <v>0</v>
      </c>
      <c r="P524" s="90">
        <f t="shared" si="227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8"/>
        <v>0</v>
      </c>
      <c r="M525" s="90">
        <f t="shared" si="228"/>
        <v>0</v>
      </c>
      <c r="N525" s="90">
        <f t="shared" si="228"/>
        <v>0</v>
      </c>
      <c r="O525" s="90">
        <f t="shared" ca="1" si="226"/>
        <v>0</v>
      </c>
      <c r="P525" s="90">
        <f t="shared" si="227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9">L527+L528</f>
        <v>0</v>
      </c>
      <c r="M526" s="495">
        <f t="shared" si="229"/>
        <v>0</v>
      </c>
      <c r="N526" s="495">
        <f t="shared" si="229"/>
        <v>0</v>
      </c>
      <c r="O526" s="495">
        <f t="shared" ca="1" si="226"/>
        <v>0</v>
      </c>
      <c r="P526" s="495">
        <f t="shared" si="227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6"/>
        <v>0</v>
      </c>
      <c r="P527" s="90">
        <f t="shared" si="227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IFERROR(__xludf.DUMMYFUNCTION("IMPORTRANGE(""https://docs.google.com/spreadsheets/d/1QqKyyYR6Q21VydFLVH3TRQUabQu_ym0Zz7PgGX0-kHA/edit?usp=sharing"",""แผน!GQ72"")"),0)</f>
        <v>0</v>
      </c>
      <c r="M528" s="90">
        <v>0</v>
      </c>
      <c r="N528" s="90">
        <f>N529+N530+N531+N532</f>
        <v>0</v>
      </c>
      <c r="O528" s="90">
        <f t="shared" ca="1" si="226"/>
        <v>0</v>
      </c>
      <c r="P528" s="90">
        <f t="shared" si="227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30">L534+L535</f>
        <v>0</v>
      </c>
      <c r="M533" s="495">
        <f t="shared" si="230"/>
        <v>0</v>
      </c>
      <c r="N533" s="495">
        <f t="shared" si="230"/>
        <v>0</v>
      </c>
      <c r="O533" s="495">
        <f t="shared" ref="O533:O535" ca="1" si="231">IF(L533&gt;0,N533*100/L533,0)</f>
        <v>0</v>
      </c>
      <c r="P533" s="495">
        <f t="shared" ref="P533:P535" si="232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1"/>
        <v>0</v>
      </c>
      <c r="P534" s="90">
        <f t="shared" si="232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IFERROR(__xludf.DUMMYFUNCTION("IMPORTRANGE(""https://docs.google.com/spreadsheets/d/1QqKyyYR6Q21VydFLVH3TRQUabQu_ym0Zz7PgGX0-kHA/edit?usp=sharing"",""แผน!GT72"")"),0)</f>
        <v>0</v>
      </c>
      <c r="M535" s="90">
        <v>0</v>
      </c>
      <c r="N535" s="90">
        <v>0</v>
      </c>
      <c r="O535" s="90">
        <f t="shared" ca="1" si="231"/>
        <v>0</v>
      </c>
      <c r="P535" s="90">
        <f t="shared" si="232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IFERROR(__xludf.DUMMYFUNCTION("IMPORTRANGE(""https://docs.google.com/spreadsheets/d/1QqKyyYR6Q21VydFLVH3TRQUabQu_ym0Zz7PgGX0-kHA/edit?usp=sharing"",""แผน!GU72"")"),0)</f>
        <v>0</v>
      </c>
      <c r="J537" s="673">
        <f ca="1">IF(AND(J538=I538,J539=I539,J540=I540,J541=I541),I537,0)</f>
        <v>0</v>
      </c>
      <c r="K537" s="495">
        <f t="shared" ref="K537:K543" ca="1" si="233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IFERROR(__xludf.DUMMYFUNCTION("IMPORTRANGE(""https://docs.google.com/spreadsheets/d/1QqKyyYR6Q21VydFLVH3TRQUabQu_ym0Zz7PgGX0-kHA/edit?usp=sharing"",""แผน!GV72"")"),0)</f>
        <v>0</v>
      </c>
      <c r="J538" s="210">
        <v>0</v>
      </c>
      <c r="K538" s="495">
        <f t="shared" ca="1" si="233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IFERROR(__xludf.DUMMYFUNCTION("IMPORTRANGE(""https://docs.google.com/spreadsheets/d/1QqKyyYR6Q21VydFLVH3TRQUabQu_ym0Zz7PgGX0-kHA/edit?usp=sharing"",""แผน!GW72"")"),0)</f>
        <v>0</v>
      </c>
      <c r="J539" s="210">
        <v>0</v>
      </c>
      <c r="K539" s="495">
        <f t="shared" ca="1" si="233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IFERROR(__xludf.DUMMYFUNCTION("IMPORTRANGE(""https://docs.google.com/spreadsheets/d/1QqKyyYR6Q21VydFLVH3TRQUabQu_ym0Zz7PgGX0-kHA/edit?usp=sharing"",""แผน!GX72"")"),0)</f>
        <v>0</v>
      </c>
      <c r="J540" s="210">
        <v>0</v>
      </c>
      <c r="K540" s="495">
        <f t="shared" ca="1" si="233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IFERROR(__xludf.DUMMYFUNCTION("IMPORTRANGE(""https://docs.google.com/spreadsheets/d/1QqKyyYR6Q21VydFLVH3TRQUabQu_ym0Zz7PgGX0-kHA/edit?usp=sharing"",""แผน!GY72"")"),0)</f>
        <v>0</v>
      </c>
      <c r="J541" s="210">
        <v>0</v>
      </c>
      <c r="K541" s="495">
        <f t="shared" ca="1" si="233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IFERROR(__xludf.DUMMYFUNCTION("IMPORTRANGE(""https://docs.google.com/spreadsheets/d/1QqKyyYR6Q21VydFLVH3TRQUabQu_ym0Zz7PgGX0-kHA/edit?usp=sharing"",""แผน!GZ72"")"),0)</f>
        <v>0</v>
      </c>
      <c r="J542" s="210">
        <v>0</v>
      </c>
      <c r="K542" s="495">
        <f t="shared" ca="1" si="233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4">I559</f>
        <v>0</v>
      </c>
      <c r="J543" s="679">
        <f t="shared" si="234"/>
        <v>0</v>
      </c>
      <c r="K543" s="680">
        <f t="shared" ca="1" si="233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5">L545+L546</f>
        <v>385210</v>
      </c>
      <c r="M544" s="151">
        <f t="shared" si="235"/>
        <v>0</v>
      </c>
      <c r="N544" s="151">
        <f t="shared" si="235"/>
        <v>0</v>
      </c>
      <c r="O544" s="151">
        <f t="shared" ref="O544:O549" ca="1" si="236">IF(L544&gt;0,N544*100/L544,0)</f>
        <v>0</v>
      </c>
      <c r="P544" s="151">
        <f t="shared" ref="P544:P549" si="237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8">L548+L556</f>
        <v>0</v>
      </c>
      <c r="M545" s="90">
        <f t="shared" ref="M545:N546" si="239">M548+M555</f>
        <v>0</v>
      </c>
      <c r="N545" s="90">
        <f t="shared" si="239"/>
        <v>0</v>
      </c>
      <c r="O545" s="90">
        <f t="shared" si="236"/>
        <v>0</v>
      </c>
      <c r="P545" s="90">
        <f t="shared" si="237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8"/>
        <v>385210</v>
      </c>
      <c r="M546" s="90">
        <f t="shared" si="239"/>
        <v>0</v>
      </c>
      <c r="N546" s="90">
        <f t="shared" si="239"/>
        <v>0</v>
      </c>
      <c r="O546" s="90">
        <f t="shared" ca="1" si="236"/>
        <v>0</v>
      </c>
      <c r="P546" s="90">
        <f t="shared" si="237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40">L548+L549</f>
        <v>385210</v>
      </c>
      <c r="M547" s="495">
        <f t="shared" si="240"/>
        <v>0</v>
      </c>
      <c r="N547" s="495">
        <f t="shared" si="240"/>
        <v>0</v>
      </c>
      <c r="O547" s="495">
        <f t="shared" ca="1" si="236"/>
        <v>0</v>
      </c>
      <c r="P547" s="495">
        <f t="shared" si="237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6"/>
        <v>0</v>
      </c>
      <c r="P548" s="90">
        <f t="shared" si="237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IFERROR(__xludf.DUMMYFUNCTION("IMPORTRANGE(""https://docs.google.com/spreadsheets/d/1QqKyyYR6Q21VydFLVH3TRQUabQu_ym0Zz7PgGX0-kHA/edit?usp=sharing"",""แผน!HB72"")"),385210)</f>
        <v>385210</v>
      </c>
      <c r="M549" s="90">
        <v>0</v>
      </c>
      <c r="N549" s="90">
        <f>N550+N551+N552+N553+N554</f>
        <v>0</v>
      </c>
      <c r="O549" s="90">
        <f t="shared" ca="1" si="236"/>
        <v>0</v>
      </c>
      <c r="P549" s="90">
        <f t="shared" si="237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1">L556+L557</f>
        <v>0</v>
      </c>
      <c r="M555" s="495">
        <f t="shared" si="241"/>
        <v>0</v>
      </c>
      <c r="N555" s="495">
        <f t="shared" si="241"/>
        <v>0</v>
      </c>
      <c r="O555" s="495">
        <f t="shared" ref="O555:O557" ca="1" si="242">IF(L555&gt;0,N555*100/L555,0)</f>
        <v>0</v>
      </c>
      <c r="P555" s="495">
        <f t="shared" ref="P555:P557" si="243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2"/>
        <v>0</v>
      </c>
      <c r="P556" s="90">
        <f t="shared" si="243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IFERROR(__xludf.DUMMYFUNCTION("IMPORTRANGE(""https://docs.google.com/spreadsheets/d/1QqKyyYR6Q21VydFLVH3TRQUabQu_ym0Zz7PgGX0-kHA/edit?usp=sharing"",""แผน!HF72"")"),0)</f>
        <v>0</v>
      </c>
      <c r="M557" s="90">
        <v>0</v>
      </c>
      <c r="N557" s="90">
        <v>0</v>
      </c>
      <c r="O557" s="90">
        <f t="shared" ca="1" si="242"/>
        <v>0</v>
      </c>
      <c r="P557" s="90">
        <f t="shared" si="243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 hidden="1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4">I576</f>
        <v>0</v>
      </c>
      <c r="J559" s="698">
        <f t="shared" si="244"/>
        <v>0</v>
      </c>
      <c r="K559" s="669">
        <f t="shared" ref="K559:K561" ca="1" si="245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IFERROR(__xludf.DUMMYFUNCTION("IMPORTRANGE(""https://docs.google.com/spreadsheets/d/1QqKyyYR6Q21VydFLVH3TRQUabQu_ym0Zz7PgGX0-kHA/edit?usp=sharing"",""แผน!HH72"")"),0)</f>
        <v>0</v>
      </c>
      <c r="J560" s="189">
        <f t="shared" ref="J560:J561" si="246">J562+J564+J566</f>
        <v>0</v>
      </c>
      <c r="K560" s="409">
        <f t="shared" ca="1" si="245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IFERROR(__xludf.DUMMYFUNCTION("IMPORTRANGE(""https://docs.google.com/spreadsheets/d/1QqKyyYR6Q21VydFLVH3TRQUabQu_ym0Zz7PgGX0-kHA/edit?usp=sharing"",""แผน!HG72"")"),0)</f>
        <v>0</v>
      </c>
      <c r="J561" s="189">
        <f t="shared" si="246"/>
        <v>0</v>
      </c>
      <c r="K561" s="409">
        <f t="shared" ca="1" si="245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IFERROR(__xludf.DUMMYFUNCTION("IMPORTRANGE(""https://docs.google.com/spreadsheets/d/1QqKyyYR6Q21VydFLVH3TRQUabQu_ym0Zz7PgGX0-kHA/edit?usp=sharing"",""แผน!HH72"")"),0)</f>
        <v>0</v>
      </c>
      <c r="J568" s="673">
        <f t="shared" ref="J568:J569" si="247">J570+J572+J574</f>
        <v>0</v>
      </c>
      <c r="K568" s="409">
        <f t="shared" ref="K568:K569" ca="1" si="248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IFERROR(__xludf.DUMMYFUNCTION("IMPORTRANGE(""https://docs.google.com/spreadsheets/d/1QqKyyYR6Q21VydFLVH3TRQUabQu_ym0Zz7PgGX0-kHA/edit?usp=sharing"",""แผน!HG72"")"),0)</f>
        <v>0</v>
      </c>
      <c r="J569" s="673">
        <f t="shared" si="247"/>
        <v>0</v>
      </c>
      <c r="K569" s="409">
        <f t="shared" ca="1" si="248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IFERROR(__xludf.DUMMYFUNCTION("IMPORTRANGE(""https://docs.google.com/spreadsheets/d/1QqKyyYR6Q21VydFLVH3TRQUabQu_ym0Zz7PgGX0-kHA/edit?usp=sharing"",""แผน!HH72"")"),0)</f>
        <v>0</v>
      </c>
      <c r="J576" s="673">
        <f t="shared" ref="J576:J577" si="249">J578+J580+J582+J588+J590</f>
        <v>0</v>
      </c>
      <c r="K576" s="409">
        <f t="shared" ref="K576:K577" ca="1" si="250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IFERROR(__xludf.DUMMYFUNCTION("IMPORTRANGE(""https://docs.google.com/spreadsheets/d/1QqKyyYR6Q21VydFLVH3TRQUabQu_ym0Zz7PgGX0-kHA/edit?usp=sharing"",""แผน!HG72"")"),0)</f>
        <v>0</v>
      </c>
      <c r="J577" s="673">
        <f t="shared" si="249"/>
        <v>0</v>
      </c>
      <c r="K577" s="409">
        <f t="shared" ca="1" si="250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1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1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2">I593</f>
        <v>4097</v>
      </c>
      <c r="J592" s="698">
        <f t="shared" si="252"/>
        <v>0</v>
      </c>
      <c r="K592" s="669">
        <f t="shared" ref="K592:K594" ca="1" si="253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IFERROR(__xludf.DUMMYFUNCTION("IMPORTRANGE(""https://docs.google.com/spreadsheets/d/1QqKyyYR6Q21VydFLVH3TRQUabQu_ym0Zz7PgGX0-kHA/edit?usp=sharing"",""แผน!HJ72"")"),4097)</f>
        <v>4097</v>
      </c>
      <c r="J593" s="189">
        <f t="shared" ref="J593:J594" si="254">J595+J603+J609</f>
        <v>0</v>
      </c>
      <c r="K593" s="409">
        <f t="shared" ca="1" si="253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IFERROR(__xludf.DUMMYFUNCTION("IMPORTRANGE(""https://docs.google.com/spreadsheets/d/1QqKyyYR6Q21VydFLVH3TRQUabQu_ym0Zz7PgGX0-kHA/edit?usp=sharing"",""แผน!HI72"")"),489)</f>
        <v>489</v>
      </c>
      <c r="J594" s="189">
        <f t="shared" si="254"/>
        <v>0</v>
      </c>
      <c r="K594" s="409">
        <f t="shared" ca="1" si="253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5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5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6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6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7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8">J614+J616</f>
        <v>0</v>
      </c>
      <c r="K612" s="707">
        <f t="shared" si="257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8"/>
        <v>0</v>
      </c>
      <c r="K613" s="707">
        <f t="shared" si="257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IFERROR(__xludf.DUMMYFUNCTION("IMPORTRANGE(""https://docs.google.com/spreadsheets/d/1QqKyyYR6Q21VydFLVH3TRQUabQu_ym0Zz7PgGX0-kHA/edit?usp=sharing"",""แผน!HL72"")"),0)</f>
        <v>0</v>
      </c>
      <c r="J620" s="718">
        <f t="shared" ref="J620:J621" si="259">J622+J624+J626</f>
        <v>0</v>
      </c>
      <c r="K620" s="719">
        <f t="shared" ref="K620:K621" ca="1" si="260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IFERROR(__xludf.DUMMYFUNCTION("IMPORTRANGE(""https://docs.google.com/spreadsheets/d/1QqKyyYR6Q21VydFLVH3TRQUabQu_ym0Zz7PgGX0-kHA/edit?usp=sharing"",""แผน!HK72"")"),0)</f>
        <v>0</v>
      </c>
      <c r="J621" s="718">
        <f t="shared" si="259"/>
        <v>0</v>
      </c>
      <c r="K621" s="719">
        <f t="shared" ca="1" si="260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1">I651</f>
        <v>100</v>
      </c>
      <c r="J628" s="731">
        <f t="shared" ca="1" si="261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2">L630+L631</f>
        <v>381515</v>
      </c>
      <c r="M629" s="191">
        <f t="shared" si="262"/>
        <v>0</v>
      </c>
      <c r="N629" s="191">
        <f t="shared" si="262"/>
        <v>0</v>
      </c>
      <c r="O629" s="191">
        <f t="shared" ref="O629:O634" ca="1" si="263">IF(L629&gt;0,N629*100/L629,0)</f>
        <v>0</v>
      </c>
      <c r="P629" s="191">
        <f t="shared" ref="P629:P634" si="264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5">L633+L640</f>
        <v>0</v>
      </c>
      <c r="M630" s="90">
        <f t="shared" si="265"/>
        <v>0</v>
      </c>
      <c r="N630" s="90">
        <f t="shared" si="265"/>
        <v>0</v>
      </c>
      <c r="O630" s="90">
        <f t="shared" si="263"/>
        <v>0</v>
      </c>
      <c r="P630" s="90">
        <f t="shared" si="264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5"/>
        <v>381515</v>
      </c>
      <c r="M631" s="90">
        <f t="shared" si="265"/>
        <v>0</v>
      </c>
      <c r="N631" s="90">
        <f t="shared" si="265"/>
        <v>0</v>
      </c>
      <c r="O631" s="90">
        <f t="shared" ca="1" si="263"/>
        <v>0</v>
      </c>
      <c r="P631" s="90">
        <f t="shared" si="264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6">L633+L634</f>
        <v>381515</v>
      </c>
      <c r="M632" s="495">
        <f t="shared" si="266"/>
        <v>0</v>
      </c>
      <c r="N632" s="495">
        <f t="shared" si="266"/>
        <v>0</v>
      </c>
      <c r="O632" s="495">
        <f t="shared" ca="1" si="263"/>
        <v>0</v>
      </c>
      <c r="P632" s="495">
        <f t="shared" si="264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3"/>
        <v>0</v>
      </c>
      <c r="P633" s="90">
        <f t="shared" si="264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IFERROR(__xludf.DUMMYFUNCTION("IMPORTRANGE(""https://docs.google.com/spreadsheets/d/1QqKyyYR6Q21VydFLVH3TRQUabQu_ym0Zz7PgGX0-kHA/edit?usp=sharing"",""แผน!HN72"")"),381515)</f>
        <v>381515</v>
      </c>
      <c r="M634" s="90">
        <v>0</v>
      </c>
      <c r="N634" s="90">
        <f>N635+N636+N637+N638</f>
        <v>0</v>
      </c>
      <c r="O634" s="90">
        <f t="shared" ca="1" si="263"/>
        <v>0</v>
      </c>
      <c r="P634" s="90">
        <f t="shared" si="264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7">L640+L641</f>
        <v>0</v>
      </c>
      <c r="M639" s="495">
        <f t="shared" si="267"/>
        <v>0</v>
      </c>
      <c r="N639" s="495">
        <f t="shared" si="267"/>
        <v>0</v>
      </c>
      <c r="O639" s="495">
        <f t="shared" ref="O639:O641" ca="1" si="268">IF(L639&gt;0,N639*100/L639,0)</f>
        <v>0</v>
      </c>
      <c r="P639" s="495">
        <f t="shared" ref="P639:P641" si="269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8"/>
        <v>0</v>
      </c>
      <c r="P640" s="90">
        <f t="shared" si="269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IFERROR(__xludf.DUMMYFUNCTION("IMPORTRANGE(""https://docs.google.com/spreadsheets/d/1QqKyyYR6Q21VydFLVH3TRQUabQu_ym0Zz7PgGX0-kHA/edit?usp=sharing"",""แผน!HQ72"")"),0)</f>
        <v>0</v>
      </c>
      <c r="M641" s="90">
        <v>0</v>
      </c>
      <c r="N641" s="90">
        <v>0</v>
      </c>
      <c r="O641" s="90">
        <f t="shared" ca="1" si="268"/>
        <v>0</v>
      </c>
      <c r="P641" s="90">
        <f t="shared" si="269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IFERROR(__xludf.DUMMYFUNCTION("IMPORTRANGE(""https://docs.google.com/spreadsheets/d/1QqKyyYR6Q21VydFLVH3TRQUabQu_ym0Zz7PgGX0-kHA/edit?usp=sharing"",""แผน!HR72"")"),0)</f>
        <v>0</v>
      </c>
      <c r="J643" s="210">
        <v>0</v>
      </c>
      <c r="K643" s="159">
        <f t="shared" ref="K643:K652" ca="1" si="270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IFERROR(__xludf.DUMMYFUNCTION("IMPORTRANGE(""https://docs.google.com/spreadsheets/d/1QqKyyYR6Q21VydFLVH3TRQUabQu_ym0Zz7PgGX0-kHA/edit?usp=sharing"",""แผน!HR72"")"),0)</f>
        <v>0</v>
      </c>
      <c r="J644" s="210">
        <v>0</v>
      </c>
      <c r="K644" s="159">
        <f t="shared" ca="1" si="270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IFERROR(__xludf.DUMMYFUNCTION("IMPORTRANGE(""https://docs.google.com/spreadsheets/d/1XWAQStnk-4SwqDmLtmXYiTMKHgktTP8We1SCoS47DrQ/edit?usp=sharing"",""จัดที่ดิน!AS72"")"),11)</f>
        <v>11</v>
      </c>
      <c r="K645" s="159">
        <f t="shared" si="270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IFERROR(__xludf.DUMMYFUNCTION("IMPORTRANGE(""https://docs.google.com/spreadsheets/d/1XWAQStnk-4SwqDmLtmXYiTMKHgktTP8We1SCoS47DrQ/edit?usp=sharing"",""จัดที่ดิน!AT72"")"),7.65)</f>
        <v>7.65</v>
      </c>
      <c r="K646" s="495">
        <f t="shared" si="270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IFERROR(__xludf.DUMMYFUNCTION("IMPORTRANGE(""https://docs.google.com/spreadsheets/d/1QqKyyYR6Q21VydFLVH3TRQUabQu_ym0Zz7PgGX0-kHA/edit?usp=sharing"",""แผน!HS72"")"),100)</f>
        <v>100</v>
      </c>
      <c r="J647" s="264">
        <f ca="1">IFERROR(__xludf.DUMMYFUNCTION("IMPORTRANGE(""https://docs.google.com/spreadsheets/d/1XWAQStnk-4SwqDmLtmXYiTMKHgktTP8We1SCoS47DrQ/edit?usp=sharing"",""จัดที่ดิน!AU72"")"),0)</f>
        <v>0</v>
      </c>
      <c r="K647" s="159">
        <f t="shared" ca="1" si="270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IFERROR(__xludf.DUMMYFUNCTION("IMPORTRANGE(""https://docs.google.com/spreadsheets/d/1XWAQStnk-4SwqDmLtmXYiTMKHgktTP8We1SCoS47DrQ/edit?usp=sharing"",""จัดที่ดิน!AV72"")"),0)</f>
        <v>0</v>
      </c>
      <c r="K648" s="495">
        <f t="shared" si="270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IFERROR(__xludf.DUMMYFUNCTION("IMPORTRANGE(""https://docs.google.com/spreadsheets/d/1QqKyyYR6Q21VydFLVH3TRQUabQu_ym0Zz7PgGX0-kHA/edit?usp=sharing"",""แผน!HS72"")"),100)</f>
        <v>100</v>
      </c>
      <c r="J649" s="264">
        <f ca="1">IFERROR(__xludf.DUMMYFUNCTION("IMPORTRANGE(""https://docs.google.com/spreadsheets/d/1XWAQStnk-4SwqDmLtmXYiTMKHgktTP8We1SCoS47DrQ/edit?usp=sharing"",""จัดที่ดิน!AW72"")"),0)</f>
        <v>0</v>
      </c>
      <c r="K649" s="159">
        <f t="shared" ca="1" si="270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IFERROR(__xludf.DUMMYFUNCTION("IMPORTRANGE(""https://docs.google.com/spreadsheets/d/1XWAQStnk-4SwqDmLtmXYiTMKHgktTP8We1SCoS47DrQ/edit?usp=sharing"",""จัดที่ดิน!AX72"")"),0)</f>
        <v>0</v>
      </c>
      <c r="K650" s="495">
        <f t="shared" si="270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IFERROR(__xludf.DUMMYFUNCTION("IMPORTRANGE(""https://docs.google.com/spreadsheets/d/1QqKyyYR6Q21VydFLVH3TRQUabQu_ym0Zz7PgGX0-kHA/edit?usp=sharing"",""แผน!HS72"")"),100)</f>
        <v>100</v>
      </c>
      <c r="J651" s="264">
        <f ca="1">IFERROR(__xludf.DUMMYFUNCTION("IMPORTRANGE(""https://docs.google.com/spreadsheets/d/1XWAQStnk-4SwqDmLtmXYiTMKHgktTP8We1SCoS47DrQ/edit?usp=sharing"",""จัดที่ดิน!AY72"")"),0)</f>
        <v>0</v>
      </c>
      <c r="K651" s="159">
        <f t="shared" ca="1" si="270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IFERROR(__xludf.DUMMYFUNCTION("IMPORTRANGE(""https://docs.google.com/spreadsheets/d/1XWAQStnk-4SwqDmLtmXYiTMKHgktTP8We1SCoS47DrQ/edit?usp=sharing"",""จัดที่ดิน!AZ72"")"),0)</f>
        <v>0</v>
      </c>
      <c r="K652" s="499">
        <f t="shared" si="270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1">I669</f>
        <v>100</v>
      </c>
      <c r="J654" s="698">
        <f t="shared" si="271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2">L656+L657</f>
        <v>12400</v>
      </c>
      <c r="M655" s="191">
        <f t="shared" si="272"/>
        <v>0</v>
      </c>
      <c r="N655" s="191">
        <f t="shared" si="272"/>
        <v>0</v>
      </c>
      <c r="O655" s="191">
        <f t="shared" ref="O655:O660" ca="1" si="273">IF(L655&gt;0,N655*100/L655,0)</f>
        <v>0</v>
      </c>
      <c r="P655" s="191">
        <f t="shared" ref="P655:P660" si="274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5">L659+L666</f>
        <v>0</v>
      </c>
      <c r="M656" s="90">
        <f t="shared" si="275"/>
        <v>0</v>
      </c>
      <c r="N656" s="90">
        <f t="shared" si="275"/>
        <v>0</v>
      </c>
      <c r="O656" s="90">
        <f t="shared" si="273"/>
        <v>0</v>
      </c>
      <c r="P656" s="90">
        <f t="shared" si="274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5"/>
        <v>12400</v>
      </c>
      <c r="M657" s="90">
        <f t="shared" si="275"/>
        <v>0</v>
      </c>
      <c r="N657" s="90">
        <f t="shared" si="275"/>
        <v>0</v>
      </c>
      <c r="O657" s="90">
        <f t="shared" ca="1" si="273"/>
        <v>0</v>
      </c>
      <c r="P657" s="90">
        <f t="shared" si="274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6">L659+L660</f>
        <v>12400</v>
      </c>
      <c r="M658" s="495">
        <f t="shared" si="276"/>
        <v>0</v>
      </c>
      <c r="N658" s="495">
        <f t="shared" si="276"/>
        <v>0</v>
      </c>
      <c r="O658" s="495">
        <f t="shared" ca="1" si="273"/>
        <v>0</v>
      </c>
      <c r="P658" s="495">
        <f t="shared" si="274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3"/>
        <v>0</v>
      </c>
      <c r="P659" s="90">
        <f t="shared" si="274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IFERROR(__xludf.DUMMYFUNCTION("IMPORTRANGE(""https://docs.google.com/spreadsheets/d/1QqKyyYR6Q21VydFLVH3TRQUabQu_ym0Zz7PgGX0-kHA/edit?usp=sharing"",""แผน!HV72"")"),12400)</f>
        <v>12400</v>
      </c>
      <c r="M660" s="90">
        <v>0</v>
      </c>
      <c r="N660" s="90">
        <f>N661+N662+N663+N664</f>
        <v>0</v>
      </c>
      <c r="O660" s="90">
        <f t="shared" ca="1" si="273"/>
        <v>0</v>
      </c>
      <c r="P660" s="90">
        <f t="shared" si="274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7">L666+L667</f>
        <v>0</v>
      </c>
      <c r="M665" s="495">
        <f t="shared" si="277"/>
        <v>0</v>
      </c>
      <c r="N665" s="495">
        <f t="shared" si="277"/>
        <v>0</v>
      </c>
      <c r="O665" s="495">
        <f t="shared" ref="O665:O667" si="278">IF(L665&gt;0,N665*100/L665,0)</f>
        <v>0</v>
      </c>
      <c r="P665" s="495">
        <f t="shared" ref="P665:P667" si="279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8"/>
        <v>0</v>
      </c>
      <c r="P666" s="90">
        <f t="shared" si="279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8"/>
        <v>0</v>
      </c>
      <c r="P667" s="90">
        <f t="shared" si="279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IFERROR(__xludf.DUMMYFUNCTION("IMPORTRANGE(""https://docs.google.com/spreadsheets/d/1QqKyyYR6Q21VydFLVH3TRQUabQu_ym0Zz7PgGX0-kHA/edit?usp=sharing"",""แผน!IA72"")"),100)</f>
        <v>100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IFERROR(__xludf.DUMMYFUNCTION("IMPORTRANGE(""https://docs.google.com/spreadsheets/d/1QqKyyYR6Q21VydFLVH3TRQUabQu_ym0Zz7PgGX0-kHA/edit?usp=sharing"",""แผน!HZ72"")"),4)</f>
        <v>4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IFERROR(__xludf.DUMMYFUNCTION("IMPORTRANGE(""https://docs.google.com/spreadsheets/d/1QqKyyYR6Q21VydFLVH3TRQUabQu_ym0Zz7PgGX0-kHA/edit?usp=sharing"",""แผน!HZ72"")"),4)</f>
        <v>4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80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80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80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80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IFERROR(__xludf.DUMMYFUNCTION("IMPORTRANGE(""https://docs.google.com/spreadsheets/d/1QqKyyYR6Q21VydFLVH3TRQUabQu_ym0Zz7PgGX0-kHA/edit?usp=sharing"",""แผน!IB72"")"),0)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1">L686+L687</f>
        <v>24580</v>
      </c>
      <c r="M685" s="191">
        <f t="shared" si="281"/>
        <v>0</v>
      </c>
      <c r="N685" s="191">
        <f t="shared" si="281"/>
        <v>0</v>
      </c>
      <c r="O685" s="191">
        <f t="shared" ref="O685:O688" ca="1" si="282">IF(L685&gt;0,N685*100/L685,0)</f>
        <v>0</v>
      </c>
      <c r="P685" s="191">
        <f t="shared" ref="P685:P688" si="283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4">L689+L696</f>
        <v>0</v>
      </c>
      <c r="M686" s="90">
        <f t="shared" si="284"/>
        <v>0</v>
      </c>
      <c r="N686" s="90">
        <f t="shared" si="284"/>
        <v>0</v>
      </c>
      <c r="O686" s="90">
        <f t="shared" si="282"/>
        <v>0</v>
      </c>
      <c r="P686" s="90">
        <f t="shared" si="283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4"/>
        <v>24580</v>
      </c>
      <c r="M687" s="90">
        <f t="shared" si="284"/>
        <v>0</v>
      </c>
      <c r="N687" s="90">
        <f t="shared" si="284"/>
        <v>0</v>
      </c>
      <c r="O687" s="90">
        <f t="shared" ca="1" si="282"/>
        <v>0</v>
      </c>
      <c r="P687" s="90">
        <f t="shared" si="283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5">L689+L690</f>
        <v>24580</v>
      </c>
      <c r="M688" s="495">
        <f t="shared" si="285"/>
        <v>0</v>
      </c>
      <c r="N688" s="495">
        <f t="shared" si="285"/>
        <v>0</v>
      </c>
      <c r="O688" s="495">
        <f t="shared" ca="1" si="282"/>
        <v>0</v>
      </c>
      <c r="P688" s="495">
        <f t="shared" si="283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IFERROR(__xludf.DUMMYFUNCTION("IMPORTRANGE(""https://docs.google.com/spreadsheets/d/1QqKyyYR6Q21VydFLVH3TRQUabQu_ym0Zz7PgGX0-kHA/edit?usp=sharing"",""แผน!HW72"")"),24580)</f>
        <v>24580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6">L696+L697</f>
        <v>0</v>
      </c>
      <c r="M695" s="495">
        <f t="shared" si="286"/>
        <v>0</v>
      </c>
      <c r="N695" s="495">
        <f t="shared" si="286"/>
        <v>0</v>
      </c>
      <c r="O695" s="495">
        <f t="shared" ref="O695:O697" si="287">IF(L695&gt;0,N695*100/L695,0)</f>
        <v>0</v>
      </c>
      <c r="P695" s="495">
        <f t="shared" ref="P695:P697" si="288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7"/>
        <v>0</v>
      </c>
      <c r="P696" s="90">
        <f t="shared" si="288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7"/>
        <v>0</v>
      </c>
      <c r="P697" s="90">
        <f t="shared" si="288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IFERROR(__xludf.DUMMYFUNCTION("IMPORTRANGE(""https://docs.google.com/spreadsheets/d/1QqKyyYR6Q21VydFLVH3TRQUabQu_ym0Zz7PgGX0-kHA/edit?usp=sharing"",""แผน!IC72"")"),0)</f>
        <v>0</v>
      </c>
      <c r="J699" s="264">
        <f ca="1">IFERROR(__xludf.DUMMYFUNCTION("IMPORTRANGE(""https://docs.google.com/spreadsheets/d/1XWAQStnk-4SwqDmLtmXYiTMKHgktTP8We1SCoS47DrQ/edit?usp=sharing"",""จัดที่ดิน!BB72"")"),0)</f>
        <v>0</v>
      </c>
      <c r="K699" s="495">
        <f t="shared" ref="K699:K701" ca="1" si="289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IFERROR(__xludf.DUMMYFUNCTION("IMPORTRANGE(""https://docs.google.com/spreadsheets/d/1QqKyyYR6Q21VydFLVH3TRQUabQu_ym0Zz7PgGX0-kHA/edit?usp=sharing"",""แผน!ID72"")"),0)</f>
        <v>0</v>
      </c>
      <c r="J700" s="264">
        <f ca="1">IFERROR(__xludf.DUMMYFUNCTION("IMPORTRANGE(""https://docs.google.com/spreadsheets/d/1XWAQStnk-4SwqDmLtmXYiTMKHgktTP8We1SCoS47DrQ/edit?usp=sharing"",""จัดที่ดิน!BD72"")"),0)</f>
        <v>0</v>
      </c>
      <c r="K700" s="495">
        <f t="shared" ca="1" si="289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IFERROR(__xludf.DUMMYFUNCTION("IMPORTRANGE(""https://docs.google.com/spreadsheets/d/1QqKyyYR6Q21VydFLVH3TRQUabQu_ym0Zz7PgGX0-kHA/edit?usp=sharing"",""แผน!IE72"")"),30)</f>
        <v>30</v>
      </c>
      <c r="J701" s="673">
        <f>J704+J707</f>
        <v>0</v>
      </c>
      <c r="K701" s="191">
        <f t="shared" ca="1" si="289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IFERROR(__xludf.DUMMYFUNCTION("IMPORTRANGE(""https://docs.google.com/spreadsheets/d/1QqKyyYR6Q21VydFLVH3TRQUabQu_ym0Zz7PgGX0-kHA/edit?usp=sharing"",""แผน!IF72"")"),30)</f>
        <v>30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IFERROR(__xludf.DUMMYFUNCTION("IMPORTRANGE(""https://docs.google.com/spreadsheets/d/1QqKyyYR6Q21VydFLVH3TRQUabQu_ym0Zz7PgGX0-kHA/edit?usp=sharing"",""แผน!IG72"")"),0)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IFERROR(__xludf.DUMMYFUNCTION("IMPORTRANGE(""https://docs.google.com/spreadsheets/d/1QqKyyYR6Q21VydFLVH3TRQUabQu_ym0Zz7PgGX0-kHA/edit?usp=sharing"",""แผน!IH72"")"),120)</f>
        <v>120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IFERROR(__xludf.DUMMYFUNCTION("IMPORTRANGE(""https://docs.google.com/spreadsheets/d/1XWAQStnk-4SwqDmLtmXYiTMKHgktTP8We1SCoS47DrQ/edit?usp=sharing"",""จัดที่ดิน!BF72"")"),0)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IFERROR(__xludf.DUMMYFUNCTION("IMPORTRANGE(""https://docs.google.com/spreadsheets/d/1XWAQStnk-4SwqDmLtmXYiTMKHgktTP8We1SCoS47DrQ/edit?usp=sharing"",""จัดที่ดิน!BG72"")"),0)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IFERROR(__xludf.DUMMYFUNCTION("IMPORTRANGE(""https://docs.google.com/spreadsheets/d/1QqKyyYR6Q21VydFLVH3TRQUabQu_ym0Zz7PgGX0-kHA/edit?usp=sharing"",""แผน!II72"")"),170)</f>
        <v>170</v>
      </c>
      <c r="J720" s="264">
        <f ca="1">IFERROR(__xludf.DUMMYFUNCTION("IMPORTRANGE(""https://docs.google.com/spreadsheets/d/1XWAQStnk-4SwqDmLtmXYiTMKHgktTP8We1SCoS47DrQ/edit?usp=sharing"",""จัดที่ดิน!BH72"")"),0)</f>
        <v>0</v>
      </c>
      <c r="K720" s="495">
        <f t="shared" ref="K720:K723" ca="1" si="290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IFERROR(__xludf.DUMMYFUNCTION("IMPORTRANGE(""https://docs.google.com/spreadsheets/d/1QqKyyYR6Q21VydFLVH3TRQUabQu_ym0Zz7PgGX0-kHA/edit?usp=sharing"",""แผน!IJ72"")"),29)</f>
        <v>29</v>
      </c>
      <c r="J721" s="673">
        <f ca="1">J723+J726</f>
        <v>1</v>
      </c>
      <c r="K721" s="191">
        <f t="shared" ca="1" si="290"/>
        <v>3.4482758620689653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IFERROR(__xludf.DUMMYFUNCTION("IMPORTRANGE(""https://docs.google.com/spreadsheets/d/1QqKyyYR6Q21VydFLVH3TRQUabQu_ym0Zz7PgGX0-kHA/edit?usp=sharing"",""แผน!IK72"")"),300)</f>
        <v>300</v>
      </c>
      <c r="J722" s="673">
        <f ca="1">J725+J728</f>
        <v>11</v>
      </c>
      <c r="K722" s="191">
        <f t="shared" ca="1" si="290"/>
        <v>3.6666666666666665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IFERROR(__xludf.DUMMYFUNCTION("IMPORTRANGE(""https://docs.google.com/spreadsheets/d/1QqKyyYR6Q21VydFLVH3TRQUabQu_ym0Zz7PgGX0-kHA/edit?usp=sharing"",""แผน!IL72"")"),20)</f>
        <v>20</v>
      </c>
      <c r="J723" s="264">
        <f ca="1">IFERROR(__xludf.DUMMYFUNCTION("IMPORTRANGE(""https://docs.google.com/spreadsheets/d/1XWAQStnk-4SwqDmLtmXYiTMKHgktTP8We1SCoS47DrQ/edit?usp=sharing"",""จัดที่ดิน!BM72"")"),1)</f>
        <v>1</v>
      </c>
      <c r="K723" s="495">
        <f t="shared" ca="1" si="290"/>
        <v>5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IFERROR(__xludf.DUMMYFUNCTION("IMPORTRANGE(""https://docs.google.com/spreadsheets/d/1XWAQStnk-4SwqDmLtmXYiTMKHgktTP8We1SCoS47DrQ/edit?usp=sharing"",""จัดที่ดิน!BN72"")"),1)</f>
        <v>1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IFERROR(__xludf.DUMMYFUNCTION("IMPORTRANGE(""https://docs.google.com/spreadsheets/d/1QqKyyYR6Q21VydFLVH3TRQUabQu_ym0Zz7PgGX0-kHA/edit?usp=sharing"",""แผน!IM72"")"),200)</f>
        <v>200</v>
      </c>
      <c r="J725" s="264">
        <f ca="1">IFERROR(__xludf.DUMMYFUNCTION("IMPORTRANGE(""https://docs.google.com/spreadsheets/d/1XWAQStnk-4SwqDmLtmXYiTMKHgktTP8We1SCoS47DrQ/edit?usp=sharing"",""จัดที่ดิน!BO72"")"),11)</f>
        <v>11</v>
      </c>
      <c r="K725" s="495">
        <f t="shared" ref="K725:K726" ca="1" si="291">IF(I725&gt;0,J725*100/I725,0)</f>
        <v>5.5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IFERROR(__xludf.DUMMYFUNCTION("IMPORTRANGE(""https://docs.google.com/spreadsheets/d/1QqKyyYR6Q21VydFLVH3TRQUabQu_ym0Zz7PgGX0-kHA/edit?usp=sharing"",""แผน!IN72"")"),9)</f>
        <v>9</v>
      </c>
      <c r="J726" s="264">
        <f ca="1">IFERROR(__xludf.DUMMYFUNCTION("IMPORTRANGE(""https://docs.google.com/spreadsheets/d/1XWAQStnk-4SwqDmLtmXYiTMKHgktTP8We1SCoS47DrQ/edit?usp=sharing"",""จัดที่ดิน!BR72"")"),0)</f>
        <v>0</v>
      </c>
      <c r="K726" s="495">
        <f t="shared" ca="1" si="291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IFERROR(__xludf.DUMMYFUNCTION("IMPORTRANGE(""https://docs.google.com/spreadsheets/d/1XWAQStnk-4SwqDmLtmXYiTMKHgktTP8We1SCoS47DrQ/edit?usp=sharing"",""จัดที่ดิน!BS72"")"),0)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IFERROR(__xludf.DUMMYFUNCTION("IMPORTRANGE(""https://docs.google.com/spreadsheets/d/1QqKyyYR6Q21VydFLVH3TRQUabQu_ym0Zz7PgGX0-kHA/edit?usp=sharing"",""แผน!IO72"")"),100)</f>
        <v>100</v>
      </c>
      <c r="J728" s="264">
        <f ca="1">IFERROR(__xludf.DUMMYFUNCTION("IMPORTRANGE(""https://docs.google.com/spreadsheets/d/1XWAQStnk-4SwqDmLtmXYiTMKHgktTP8We1SCoS47DrQ/edit?usp=sharing"",""จัดที่ดิน!BT72"")"),0)</f>
        <v>0</v>
      </c>
      <c r="K728" s="495">
        <f t="shared" ref="K728:K729" ca="1" si="292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IFERROR(__xludf.DUMMYFUNCTION("IMPORTRANGE(""https://docs.google.com/spreadsheets/d/1QqKyyYR6Q21VydFLVH3TRQUabQu_ym0Zz7PgGX0-kHA/edit?usp=sharing"",""แผน!IP72"")"),20)</f>
        <v>20</v>
      </c>
      <c r="J729" s="673">
        <f>J732+J735</f>
        <v>0</v>
      </c>
      <c r="K729" s="191">
        <f t="shared" ca="1" si="292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3">L738+L739</f>
        <v>0</v>
      </c>
      <c r="M737" s="639">
        <f t="shared" si="293"/>
        <v>0</v>
      </c>
      <c r="N737" s="639">
        <f t="shared" si="293"/>
        <v>0</v>
      </c>
      <c r="O737" s="639">
        <f t="shared" ref="O737:O742" si="294">IF(L737&gt;0,N737*100/L737,0)</f>
        <v>0</v>
      </c>
      <c r="P737" s="639">
        <f t="shared" ref="P737:P742" si="295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6">L741+L748</f>
        <v>0</v>
      </c>
      <c r="M738" s="90">
        <f t="shared" si="296"/>
        <v>0</v>
      </c>
      <c r="N738" s="90">
        <f t="shared" si="296"/>
        <v>0</v>
      </c>
      <c r="O738" s="90">
        <f t="shared" si="294"/>
        <v>0</v>
      </c>
      <c r="P738" s="90">
        <f t="shared" si="295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6"/>
        <v>0</v>
      </c>
      <c r="M739" s="90">
        <f t="shared" si="296"/>
        <v>0</v>
      </c>
      <c r="N739" s="90">
        <f t="shared" si="296"/>
        <v>0</v>
      </c>
      <c r="O739" s="90">
        <f t="shared" si="294"/>
        <v>0</v>
      </c>
      <c r="P739" s="90">
        <f t="shared" si="295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7">L741+L742</f>
        <v>0</v>
      </c>
      <c r="M740" s="639">
        <f t="shared" si="297"/>
        <v>0</v>
      </c>
      <c r="N740" s="639">
        <f t="shared" si="297"/>
        <v>0</v>
      </c>
      <c r="O740" s="639">
        <f t="shared" si="294"/>
        <v>0</v>
      </c>
      <c r="P740" s="639">
        <f t="shared" si="295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4"/>
        <v>0</v>
      </c>
      <c r="P741" s="90">
        <f t="shared" si="295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4"/>
        <v>0</v>
      </c>
      <c r="P742" s="90">
        <f t="shared" si="295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8">L748+L749</f>
        <v>0</v>
      </c>
      <c r="M747" s="639">
        <f t="shared" si="298"/>
        <v>0</v>
      </c>
      <c r="N747" s="639">
        <f t="shared" si="298"/>
        <v>0</v>
      </c>
      <c r="O747" s="639">
        <f t="shared" ref="O747:O749" si="299">IF(L747&gt;0,N747*100/L747,0)</f>
        <v>0</v>
      </c>
      <c r="P747" s="639">
        <f t="shared" ref="P747:P749" si="300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9"/>
        <v>0</v>
      </c>
      <c r="P748" s="90">
        <f t="shared" si="300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9"/>
        <v>0</v>
      </c>
      <c r="P749" s="90">
        <f t="shared" si="300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1">L755+L756</f>
        <v>0</v>
      </c>
      <c r="M754" s="639">
        <f t="shared" si="301"/>
        <v>0</v>
      </c>
      <c r="N754" s="639">
        <f t="shared" si="301"/>
        <v>0</v>
      </c>
      <c r="O754" s="639">
        <f t="shared" ref="O754:O759" si="302">IF(L754&gt;0,N754*100/L754,0)</f>
        <v>0</v>
      </c>
      <c r="P754" s="639">
        <f t="shared" ref="P754:P759" si="303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4">L758+L765</f>
        <v>0</v>
      </c>
      <c r="M755" s="90">
        <f t="shared" si="304"/>
        <v>0</v>
      </c>
      <c r="N755" s="90">
        <f t="shared" si="304"/>
        <v>0</v>
      </c>
      <c r="O755" s="90">
        <f t="shared" si="302"/>
        <v>0</v>
      </c>
      <c r="P755" s="90">
        <f t="shared" si="303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4"/>
        <v>0</v>
      </c>
      <c r="M756" s="90">
        <f t="shared" si="304"/>
        <v>0</v>
      </c>
      <c r="N756" s="90">
        <f t="shared" si="304"/>
        <v>0</v>
      </c>
      <c r="O756" s="90">
        <f t="shared" si="302"/>
        <v>0</v>
      </c>
      <c r="P756" s="90">
        <f t="shared" si="303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5">L758+L759</f>
        <v>0</v>
      </c>
      <c r="M757" s="639">
        <f t="shared" si="305"/>
        <v>0</v>
      </c>
      <c r="N757" s="639">
        <f t="shared" si="305"/>
        <v>0</v>
      </c>
      <c r="O757" s="639">
        <f t="shared" si="302"/>
        <v>0</v>
      </c>
      <c r="P757" s="639">
        <f t="shared" si="303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2"/>
        <v>0</v>
      </c>
      <c r="P758" s="90">
        <f t="shared" si="303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2"/>
        <v>0</v>
      </c>
      <c r="P759" s="90">
        <f t="shared" si="303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6">L765+L766</f>
        <v>0</v>
      </c>
      <c r="M764" s="639">
        <f t="shared" si="306"/>
        <v>0</v>
      </c>
      <c r="N764" s="639">
        <f t="shared" si="306"/>
        <v>0</v>
      </c>
      <c r="O764" s="639">
        <f t="shared" ref="O764:O766" si="307">IF(L764&gt;0,N764*100/L764,0)</f>
        <v>0</v>
      </c>
      <c r="P764" s="639">
        <f t="shared" ref="P764:P766" si="308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7"/>
        <v>0</v>
      </c>
      <c r="P765" s="90">
        <f t="shared" si="308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7"/>
        <v>0</v>
      </c>
      <c r="P766" s="90">
        <f t="shared" si="308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9">L771+L772</f>
        <v>0</v>
      </c>
      <c r="M770" s="639">
        <f t="shared" si="309"/>
        <v>0</v>
      </c>
      <c r="N770" s="639">
        <f t="shared" si="309"/>
        <v>0</v>
      </c>
      <c r="O770" s="639">
        <f t="shared" ref="O770:O775" si="310">IF(L770&gt;0,N770*100/L770,0)</f>
        <v>0</v>
      </c>
      <c r="P770" s="639">
        <f t="shared" ref="P770:P775" si="311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2">L774+L781</f>
        <v>0</v>
      </c>
      <c r="M771" s="90">
        <f t="shared" si="312"/>
        <v>0</v>
      </c>
      <c r="N771" s="90">
        <f t="shared" si="312"/>
        <v>0</v>
      </c>
      <c r="O771" s="90">
        <f t="shared" si="310"/>
        <v>0</v>
      </c>
      <c r="P771" s="90">
        <f t="shared" si="311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2"/>
        <v>0</v>
      </c>
      <c r="M772" s="90">
        <f t="shared" si="312"/>
        <v>0</v>
      </c>
      <c r="N772" s="90">
        <f t="shared" si="312"/>
        <v>0</v>
      </c>
      <c r="O772" s="90">
        <f t="shared" si="310"/>
        <v>0</v>
      </c>
      <c r="P772" s="90">
        <f t="shared" si="311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3">L774+L775</f>
        <v>0</v>
      </c>
      <c r="M773" s="639">
        <f t="shared" si="313"/>
        <v>0</v>
      </c>
      <c r="N773" s="639">
        <f t="shared" si="313"/>
        <v>0</v>
      </c>
      <c r="O773" s="639">
        <f t="shared" si="310"/>
        <v>0</v>
      </c>
      <c r="P773" s="639">
        <f t="shared" si="311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10"/>
        <v>0</v>
      </c>
      <c r="P774" s="90">
        <f t="shared" si="311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10"/>
        <v>0</v>
      </c>
      <c r="P775" s="90">
        <f t="shared" si="311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4">L781+L782</f>
        <v>0</v>
      </c>
      <c r="M780" s="639">
        <f t="shared" si="314"/>
        <v>0</v>
      </c>
      <c r="N780" s="639">
        <f t="shared" si="314"/>
        <v>0</v>
      </c>
      <c r="O780" s="639">
        <f t="shared" ref="O780:O782" si="315">IF(L780&gt;0,N780*100/L780,0)</f>
        <v>0</v>
      </c>
      <c r="P780" s="639">
        <f t="shared" ref="P780:P782" si="316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5"/>
        <v>0</v>
      </c>
      <c r="P781" s="90">
        <f t="shared" si="316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5"/>
        <v>0</v>
      </c>
      <c r="P782" s="90">
        <f t="shared" si="316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7">I800</f>
        <v>0</v>
      </c>
      <c r="J785" s="798">
        <f t="shared" ca="1" si="317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1">L790+L797</f>
        <v>0</v>
      </c>
      <c r="M787" s="90">
        <f t="shared" si="321"/>
        <v>0</v>
      </c>
      <c r="N787" s="90">
        <f t="shared" si="321"/>
        <v>0</v>
      </c>
      <c r="O787" s="90">
        <f t="shared" si="319"/>
        <v>0</v>
      </c>
      <c r="P787" s="90">
        <f t="shared" si="320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1"/>
        <v>0</v>
      </c>
      <c r="M788" s="90">
        <f t="shared" si="321"/>
        <v>0</v>
      </c>
      <c r="N788" s="90">
        <f t="shared" si="321"/>
        <v>0</v>
      </c>
      <c r="O788" s="90">
        <f t="shared" ca="1" si="319"/>
        <v>0</v>
      </c>
      <c r="P788" s="90">
        <f t="shared" si="320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2">L790+L791</f>
        <v>0</v>
      </c>
      <c r="M789" s="495">
        <f t="shared" si="322"/>
        <v>0</v>
      </c>
      <c r="N789" s="495">
        <f t="shared" si="322"/>
        <v>0</v>
      </c>
      <c r="O789" s="495">
        <f t="shared" ca="1" si="319"/>
        <v>0</v>
      </c>
      <c r="P789" s="495">
        <f t="shared" si="320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9"/>
        <v>0</v>
      </c>
      <c r="P790" s="90">
        <f t="shared" si="320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IFERROR(__xludf.DUMMYFUNCTION("IMPORTRANGE(""https://docs.google.com/spreadsheets/d/1QqKyyYR6Q21VydFLVH3TRQUabQu_ym0Zz7PgGX0-kHA/edit?usp=sharing"",""แผน!JJ72"")"),0)</f>
        <v>0</v>
      </c>
      <c r="M791" s="90">
        <v>0</v>
      </c>
      <c r="N791" s="90">
        <f>N792+N793+N794+N795</f>
        <v>0</v>
      </c>
      <c r="O791" s="90">
        <f t="shared" ca="1" si="319"/>
        <v>0</v>
      </c>
      <c r="P791" s="90">
        <f t="shared" si="320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3">L797+L798</f>
        <v>0</v>
      </c>
      <c r="M796" s="495">
        <f t="shared" si="323"/>
        <v>0</v>
      </c>
      <c r="N796" s="495">
        <f t="shared" si="323"/>
        <v>0</v>
      </c>
      <c r="O796" s="495">
        <f t="shared" ref="O796:O798" si="324">IF(L796&gt;0,N796*100/L796,0)</f>
        <v>0</v>
      </c>
      <c r="P796" s="495">
        <f t="shared" ref="P796:P798" si="325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4"/>
        <v>0</v>
      </c>
      <c r="P797" s="90">
        <f t="shared" si="325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4"/>
        <v>0</v>
      </c>
      <c r="P798" s="90">
        <f t="shared" si="325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IFERROR(__xludf.DUMMYFUNCTION("IMPORTRANGE(""https://docs.google.com/spreadsheets/d/1QqKyyYR6Q21VydFLVH3TRQUabQu_ym0Zz7PgGX0-kHA/edit?usp=sharing"",""แผน!JN72"")"),0)</f>
        <v>0</v>
      </c>
      <c r="J800" s="180">
        <f ca="1">IFERROR(__xludf.DUMMYFUNCTION("IMPORTRANGE(""https://docs.google.com/spreadsheets/d/1MaWodYyGHDf7siQLGxnXhG4mBNTNIuy296niS2xXulU/edit?usp=sharing"",""RTK!H72"")"),0)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IFERROR(__xludf.DUMMYFUNCTION("IMPORTRANGE(""https://docs.google.com/spreadsheets/d/1MaWodYyGHDf7siQLGxnXhG4mBNTNIuy296niS2xXulU/edit?usp=sharing"",""RTK!I72"")"),0)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6">L806+L807</f>
        <v>0</v>
      </c>
      <c r="M805" s="639">
        <f t="shared" si="326"/>
        <v>0</v>
      </c>
      <c r="N805" s="639">
        <f t="shared" si="326"/>
        <v>0</v>
      </c>
      <c r="O805" s="639">
        <f t="shared" ref="O805:O810" si="327">IF(L805&gt;0,N805*100/L805,0)</f>
        <v>0</v>
      </c>
      <c r="P805" s="639">
        <f t="shared" ref="P805:P810" si="328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9">L809+L816</f>
        <v>0</v>
      </c>
      <c r="M806" s="90">
        <f t="shared" si="329"/>
        <v>0</v>
      </c>
      <c r="N806" s="90">
        <f t="shared" si="329"/>
        <v>0</v>
      </c>
      <c r="O806" s="90">
        <f t="shared" si="327"/>
        <v>0</v>
      </c>
      <c r="P806" s="90">
        <f t="shared" si="328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9"/>
        <v>0</v>
      </c>
      <c r="M807" s="90">
        <f t="shared" si="329"/>
        <v>0</v>
      </c>
      <c r="N807" s="90">
        <f t="shared" si="329"/>
        <v>0</v>
      </c>
      <c r="O807" s="90">
        <f t="shared" si="327"/>
        <v>0</v>
      </c>
      <c r="P807" s="90">
        <f t="shared" si="328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30">L809+L810</f>
        <v>0</v>
      </c>
      <c r="M808" s="639">
        <f t="shared" si="330"/>
        <v>0</v>
      </c>
      <c r="N808" s="639">
        <f t="shared" si="330"/>
        <v>0</v>
      </c>
      <c r="O808" s="639">
        <f t="shared" si="327"/>
        <v>0</v>
      </c>
      <c r="P808" s="639">
        <f t="shared" si="328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7"/>
        <v>0</v>
      </c>
      <c r="P809" s="90">
        <f t="shared" si="328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7"/>
        <v>0</v>
      </c>
      <c r="P810" s="90">
        <f t="shared" si="328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1">L816+L817</f>
        <v>0</v>
      </c>
      <c r="M815" s="639">
        <f t="shared" si="331"/>
        <v>0</v>
      </c>
      <c r="N815" s="639">
        <f t="shared" si="331"/>
        <v>0</v>
      </c>
      <c r="O815" s="639">
        <f t="shared" ref="O815:O817" si="332">IF(L815&gt;0,N815*100/L815,0)</f>
        <v>0</v>
      </c>
      <c r="P815" s="639">
        <f t="shared" ref="P815:P817" si="333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2"/>
        <v>0</v>
      </c>
      <c r="P816" s="90">
        <f t="shared" si="333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2"/>
        <v>0</v>
      </c>
      <c r="P817" s="90">
        <f t="shared" si="333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IFERROR(__xludf.DUMMYFUNCTION("IMPORTRANGE(""https://docs.google.com/spreadsheets/d/19vJNZY_5yjcGF2XGBMNZRCAIB0Kwfpjp8YEOfu-bneM/edit?usp=sharing"",""งานกองทุน!D72"")"),23399923)</f>
        <v>23399923</v>
      </c>
      <c r="J821" s="264">
        <f ca="1">IFERROR(__xludf.DUMMYFUNCTION("IMPORTRANGE(""https://docs.google.com/spreadsheets/d/19vJNZY_5yjcGF2XGBMNZRCAIB0Kwfpjp8YEOfu-bneM/edit?usp=sharing"",""งานกองทุน!F72"")"),30000)</f>
        <v>30000</v>
      </c>
      <c r="K821" s="495">
        <f t="shared" ref="K821:K828" ca="1" si="334">IF(I821&gt;0,J821*100/I821,0)</f>
        <v>0.12820555007809215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IFERROR(__xludf.DUMMYFUNCTION("IMPORTRANGE(""https://docs.google.com/spreadsheets/d/19vJNZY_5yjcGF2XGBMNZRCAIB0Kwfpjp8YEOfu-bneM/edit?usp=sharing"",""งานกองทุน!C72"")"),576)</f>
        <v>576</v>
      </c>
      <c r="J822" s="264">
        <f ca="1">IFERROR(__xludf.DUMMYFUNCTION("IMPORTRANGE(""https://docs.google.com/spreadsheets/d/19vJNZY_5yjcGF2XGBMNZRCAIB0Kwfpjp8YEOfu-bneM/edit?usp=sharing"",""งานกองทุน!E72"")"),1)</f>
        <v>1</v>
      </c>
      <c r="K822" s="495">
        <f t="shared" ca="1" si="334"/>
        <v>0.1736111111111111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IFERROR(__xludf.DUMMYFUNCTION("IMPORTRANGE(""https://docs.google.com/spreadsheets/d/19vJNZY_5yjcGF2XGBMNZRCAIB0Kwfpjp8YEOfu-bneM/edit?usp=sharing"",""งานกองทุน!I72"")"),3196236.83)</f>
        <v>3196236.83</v>
      </c>
      <c r="J823" s="264">
        <f ca="1">IFERROR(__xludf.DUMMYFUNCTION("IMPORTRANGE(""https://docs.google.com/spreadsheets/d/19vJNZY_5yjcGF2XGBMNZRCAIB0Kwfpjp8YEOfu-bneM/edit?usp=sharing"",""งานกองทุน!K72"")"),55350.53)</f>
        <v>55350.53</v>
      </c>
      <c r="K823" s="495">
        <f t="shared" ca="1" si="334"/>
        <v>1.7317405731789905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IFERROR(__xludf.DUMMYFUNCTION("IMPORTRANGE(""https://docs.google.com/spreadsheets/d/19vJNZY_5yjcGF2XGBMNZRCAIB0Kwfpjp8YEOfu-bneM/edit?usp=sharing"",""งานกองทุน!H72"")"),61)</f>
        <v>61</v>
      </c>
      <c r="J824" s="264">
        <f ca="1">IFERROR(__xludf.DUMMYFUNCTION("IMPORTRANGE(""https://docs.google.com/spreadsheets/d/19vJNZY_5yjcGF2XGBMNZRCAIB0Kwfpjp8YEOfu-bneM/edit?usp=sharing"",""งานกองทุน!J72"")"),11)</f>
        <v>11</v>
      </c>
      <c r="K824" s="495">
        <f t="shared" ca="1" si="334"/>
        <v>18.032786885245901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IFERROR(__xludf.DUMMYFUNCTION("IMPORTRANGE(""https://docs.google.com/spreadsheets/d/19vJNZY_5yjcGF2XGBMNZRCAIB0Kwfpjp8YEOfu-bneM/edit?usp=sharing"",""งานกองทุน!N72"")"),2020298.72)</f>
        <v>2020298.72</v>
      </c>
      <c r="J825" s="264">
        <f ca="1">IFERROR(__xludf.DUMMYFUNCTION("IMPORTRANGE(""https://docs.google.com/spreadsheets/d/19vJNZY_5yjcGF2XGBMNZRCAIB0Kwfpjp8YEOfu-bneM/edit?usp=sharing"",""งานกองทุน!P72"")"),111703.92)</f>
        <v>111703.92</v>
      </c>
      <c r="K825" s="495">
        <f t="shared" ca="1" si="334"/>
        <v>5.5290793828746274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IFERROR(__xludf.DUMMYFUNCTION("IMPORTRANGE(""https://docs.google.com/spreadsheets/d/19vJNZY_5yjcGF2XGBMNZRCAIB0Kwfpjp8YEOfu-bneM/edit?usp=sharing"",""งานกองทุน!M72"")"),495)</f>
        <v>495</v>
      </c>
      <c r="J826" s="264">
        <f ca="1">IFERROR(__xludf.DUMMYFUNCTION("IMPORTRANGE(""https://docs.google.com/spreadsheets/d/19vJNZY_5yjcGF2XGBMNZRCAIB0Kwfpjp8YEOfu-bneM/edit?usp=sharing"",""งานกองทุน!O72"")"),17)</f>
        <v>17</v>
      </c>
      <c r="K826" s="495">
        <f t="shared" ca="1" si="334"/>
        <v>3.4343434343434343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IFERROR(__xludf.DUMMYFUNCTION("IMPORTRANGE(""https://docs.google.com/spreadsheets/d/19vJNZY_5yjcGF2XGBMNZRCAIB0Kwfpjp8YEOfu-bneM/edit?usp=sharing"",""งานกองทุน!S72"")"),20000000)</f>
        <v>20000000</v>
      </c>
      <c r="J827" s="264">
        <f ca="1">IFERROR(__xludf.DUMMYFUNCTION("IMPORTRANGE(""https://docs.google.com/spreadsheets/d/19vJNZY_5yjcGF2XGBMNZRCAIB0Kwfpjp8YEOfu-bneM/edit?usp=sharing"",""งานกองทุน!U72"")"),0)</f>
        <v>0</v>
      </c>
      <c r="K827" s="495">
        <f t="shared" ca="1" si="334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IFERROR(__xludf.DUMMYFUNCTION("IMPORTRANGE(""https://docs.google.com/spreadsheets/d/19vJNZY_5yjcGF2XGBMNZRCAIB0Kwfpjp8YEOfu-bneM/edit?usp=sharing"",""งานกองทุน!R72"")"),548)</f>
        <v>548</v>
      </c>
      <c r="J828" s="498">
        <f ca="1">IFERROR(__xludf.DUMMYFUNCTION("IMPORTRANGE(""https://docs.google.com/spreadsheets/d/19vJNZY_5yjcGF2XGBMNZRCAIB0Kwfpjp8YEOfu-bneM/edit?usp=sharing"",""งานกองทุน!T72"")"),57)</f>
        <v>57</v>
      </c>
      <c r="K828" s="499">
        <f t="shared" ca="1" si="334"/>
        <v>10.401459854014599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7637-7666-416B-ABF7-3871680138A7}">
  <sheetPr>
    <outlinePr summaryBelow="0" summaryRight="0"/>
    <pageSetUpPr fitToPage="1"/>
  </sheetPr>
  <dimension ref="A1:Z828"/>
  <sheetViews>
    <sheetView view="pageBreakPreview" zoomScale="70" zoomScaleNormal="100" zoomScaleSheetLayoutView="70" workbookViewId="0">
      <pane ySplit="6" topLeftCell="A7" activePane="bottomLeft" state="frozen"/>
      <selection activeCell="A2" sqref="A2:P2"/>
      <selection pane="bottomLeft" activeCell="A3" sqref="A3:P3"/>
    </sheetView>
  </sheetViews>
  <sheetFormatPr defaultColWidth="12.5703125" defaultRowHeight="15.75" customHeight="1"/>
  <cols>
    <col min="1" max="1" width="5.2851562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9" width="14.42578125" bestFit="1" customWidth="1"/>
    <col min="10" max="10" width="11.28515625" bestFit="1" customWidth="1"/>
    <col min="11" max="11" width="12.5703125" customWidth="1"/>
    <col min="12" max="12" width="21.28515625" bestFit="1" customWidth="1"/>
    <col min="13" max="14" width="18.7109375" bestFit="1" customWidth="1"/>
    <col min="15" max="15" width="20.140625" bestFit="1" customWidth="1"/>
    <col min="16" max="16" width="22" bestFit="1" customWidth="1"/>
  </cols>
  <sheetData>
    <row r="1" spans="1:26" ht="19.5">
      <c r="A1" s="859" t="s">
        <v>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26" ht="19.5">
      <c r="A2" s="859" t="s">
        <v>358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26" ht="19.5">
      <c r="A3" s="859" t="s">
        <v>359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65" t="s">
        <v>2</v>
      </c>
      <c r="B5" s="860"/>
      <c r="C5" s="860"/>
      <c r="D5" s="860"/>
      <c r="E5" s="860"/>
      <c r="F5" s="860"/>
      <c r="G5" s="866"/>
      <c r="H5" s="861" t="s">
        <v>3</v>
      </c>
      <c r="I5" s="862" t="s">
        <v>4</v>
      </c>
      <c r="J5" s="855"/>
      <c r="K5" s="856"/>
      <c r="L5" s="863" t="s">
        <v>5</v>
      </c>
      <c r="M5" s="856"/>
      <c r="N5" s="864" t="s">
        <v>6</v>
      </c>
      <c r="O5" s="855"/>
      <c r="P5" s="856"/>
    </row>
    <row r="6" spans="1:26" ht="39">
      <c r="A6" s="867"/>
      <c r="B6" s="855"/>
      <c r="C6" s="855"/>
      <c r="D6" s="855"/>
      <c r="E6" s="855"/>
      <c r="F6" s="855"/>
      <c r="G6" s="856"/>
      <c r="H6" s="85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4" t="s">
        <v>15</v>
      </c>
      <c r="B7" s="855"/>
      <c r="C7" s="855"/>
      <c r="D7" s="855"/>
      <c r="E7" s="855"/>
      <c r="F7" s="855"/>
      <c r="G7" s="856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1">
        <f t="shared" ref="L8:N8" ca="1" si="0">L9+L10</f>
        <v>1971590</v>
      </c>
      <c r="M8" s="21">
        <f t="shared" ca="1" si="0"/>
        <v>880910</v>
      </c>
      <c r="N8" s="21">
        <f t="shared" ca="1" si="0"/>
        <v>513781.05</v>
      </c>
      <c r="O8" s="21">
        <f t="shared" ref="O8:O16" ca="1" si="1">IF(L8&gt;0,N8*100/L8,0)</f>
        <v>26.059223773705487</v>
      </c>
      <c r="P8" s="21">
        <f t="shared" ref="P8:P16" ca="1" si="2">IF(M8&gt;0,N8*100/M8,0)</f>
        <v>58.32389801455313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.75" hidden="1">
      <c r="A9" s="23"/>
      <c r="B9" s="24"/>
      <c r="C9" s="24"/>
      <c r="D9" s="24"/>
      <c r="E9" s="25" t="s">
        <v>18</v>
      </c>
      <c r="F9" s="24"/>
      <c r="G9" s="26"/>
      <c r="H9" s="27" t="s">
        <v>12</v>
      </c>
      <c r="I9" s="28"/>
      <c r="J9" s="28"/>
      <c r="K9" s="29"/>
      <c r="L9" s="29">
        <f t="shared" ref="L9:N10" si="3">L12+L15</f>
        <v>0</v>
      </c>
      <c r="M9" s="29">
        <f t="shared" si="3"/>
        <v>0</v>
      </c>
      <c r="N9" s="29">
        <f t="shared" si="3"/>
        <v>0</v>
      </c>
      <c r="O9" s="29">
        <f t="shared" si="1"/>
        <v>0</v>
      </c>
      <c r="P9" s="29">
        <f t="shared" si="2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8.75" hidden="1">
      <c r="A10" s="23"/>
      <c r="B10" s="24"/>
      <c r="C10" s="24"/>
      <c r="D10" s="24"/>
      <c r="E10" s="25" t="s">
        <v>19</v>
      </c>
      <c r="F10" s="24"/>
      <c r="G10" s="26"/>
      <c r="H10" s="27" t="s">
        <v>12</v>
      </c>
      <c r="I10" s="28"/>
      <c r="J10" s="28"/>
      <c r="K10" s="29"/>
      <c r="L10" s="29">
        <f t="shared" ca="1" si="3"/>
        <v>1971590</v>
      </c>
      <c r="M10" s="29">
        <f t="shared" ca="1" si="3"/>
        <v>880910</v>
      </c>
      <c r="N10" s="29">
        <f t="shared" ca="1" si="3"/>
        <v>513781.05</v>
      </c>
      <c r="O10" s="29">
        <f t="shared" ca="1" si="1"/>
        <v>26.059223773705487</v>
      </c>
      <c r="P10" s="29">
        <f t="shared" ca="1" si="2"/>
        <v>58.32389801455313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8.75">
      <c r="A11" s="31"/>
      <c r="B11" s="32"/>
      <c r="C11" s="32"/>
      <c r="D11" s="33" t="s">
        <v>20</v>
      </c>
      <c r="E11" s="32"/>
      <c r="F11" s="32"/>
      <c r="G11" s="34"/>
      <c r="H11" s="615" t="s">
        <v>12</v>
      </c>
      <c r="I11" s="264"/>
      <c r="J11" s="264"/>
      <c r="K11" s="495"/>
      <c r="L11" s="495">
        <f t="shared" ref="L11:N11" ca="1" si="4">L12+L13</f>
        <v>1941590</v>
      </c>
      <c r="M11" s="495">
        <f t="shared" ca="1" si="4"/>
        <v>850910</v>
      </c>
      <c r="N11" s="495">
        <f t="shared" ca="1" si="4"/>
        <v>483781.05</v>
      </c>
      <c r="O11" s="495">
        <f t="shared" ca="1" si="1"/>
        <v>24.916746068943496</v>
      </c>
      <c r="P11" s="495">
        <f t="shared" ca="1" si="2"/>
        <v>56.854549834882654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75" hidden="1">
      <c r="A12" s="38"/>
      <c r="B12" s="39"/>
      <c r="C12" s="39"/>
      <c r="D12" s="39"/>
      <c r="E12" s="218" t="s">
        <v>18</v>
      </c>
      <c r="F12" s="39"/>
      <c r="G12" s="41"/>
      <c r="H12" s="42" t="s">
        <v>12</v>
      </c>
      <c r="I12" s="609"/>
      <c r="J12" s="609"/>
      <c r="K12" s="90"/>
      <c r="L12" s="90">
        <f t="shared" ref="L12:N13" si="5">L22+L32</f>
        <v>0</v>
      </c>
      <c r="M12" s="90">
        <f t="shared" si="5"/>
        <v>0</v>
      </c>
      <c r="N12" s="90">
        <f t="shared" si="5"/>
        <v>0</v>
      </c>
      <c r="O12" s="90">
        <f t="shared" si="1"/>
        <v>0</v>
      </c>
      <c r="P12" s="90">
        <f t="shared" si="2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8.75" hidden="1">
      <c r="A13" s="38"/>
      <c r="B13" s="39"/>
      <c r="C13" s="39"/>
      <c r="D13" s="39"/>
      <c r="E13" s="218" t="s">
        <v>19</v>
      </c>
      <c r="F13" s="39"/>
      <c r="G13" s="41"/>
      <c r="H13" s="42" t="s">
        <v>12</v>
      </c>
      <c r="I13" s="609"/>
      <c r="J13" s="609"/>
      <c r="K13" s="90"/>
      <c r="L13" s="90">
        <f t="shared" ca="1" si="5"/>
        <v>1941590</v>
      </c>
      <c r="M13" s="90">
        <f t="shared" ca="1" si="5"/>
        <v>850910</v>
      </c>
      <c r="N13" s="90">
        <f t="shared" ca="1" si="5"/>
        <v>483781.05</v>
      </c>
      <c r="O13" s="90">
        <f t="shared" ca="1" si="1"/>
        <v>24.916746068943496</v>
      </c>
      <c r="P13" s="90">
        <f t="shared" ca="1" si="2"/>
        <v>56.854549834882654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8.75">
      <c r="A14" s="31"/>
      <c r="B14" s="32"/>
      <c r="C14" s="32"/>
      <c r="D14" s="33" t="s">
        <v>21</v>
      </c>
      <c r="E14" s="32"/>
      <c r="F14" s="32"/>
      <c r="G14" s="34"/>
      <c r="H14" s="615" t="s">
        <v>12</v>
      </c>
      <c r="I14" s="264"/>
      <c r="J14" s="264"/>
      <c r="K14" s="495"/>
      <c r="L14" s="495">
        <f t="shared" ref="L14:N14" ca="1" si="6">L15+L16</f>
        <v>30000</v>
      </c>
      <c r="M14" s="495">
        <f t="shared" ca="1" si="6"/>
        <v>30000</v>
      </c>
      <c r="N14" s="495">
        <f t="shared" ca="1" si="6"/>
        <v>30000</v>
      </c>
      <c r="O14" s="495">
        <f t="shared" ca="1" si="1"/>
        <v>100</v>
      </c>
      <c r="P14" s="495">
        <f t="shared" ca="1" si="2"/>
        <v>100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75" hidden="1">
      <c r="A15" s="38"/>
      <c r="B15" s="39"/>
      <c r="C15" s="39"/>
      <c r="D15" s="39"/>
      <c r="E15" s="218" t="s">
        <v>18</v>
      </c>
      <c r="F15" s="39"/>
      <c r="G15" s="41"/>
      <c r="H15" s="42" t="s">
        <v>12</v>
      </c>
      <c r="I15" s="609"/>
      <c r="J15" s="609"/>
      <c r="K15" s="90"/>
      <c r="L15" s="90">
        <f t="shared" ref="L15:N16" si="7">L25+L35</f>
        <v>0</v>
      </c>
      <c r="M15" s="90">
        <f t="shared" si="7"/>
        <v>0</v>
      </c>
      <c r="N15" s="90">
        <f t="shared" si="7"/>
        <v>0</v>
      </c>
      <c r="O15" s="90">
        <f t="shared" si="1"/>
        <v>0</v>
      </c>
      <c r="P15" s="90">
        <f t="shared" si="2"/>
        <v>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8.75" hidden="1">
      <c r="A16" s="45"/>
      <c r="B16" s="46"/>
      <c r="C16" s="46"/>
      <c r="D16" s="46"/>
      <c r="E16" s="47" t="s">
        <v>19</v>
      </c>
      <c r="F16" s="46"/>
      <c r="G16" s="48"/>
      <c r="H16" s="49" t="s">
        <v>12</v>
      </c>
      <c r="I16" s="50"/>
      <c r="J16" s="50"/>
      <c r="K16" s="51"/>
      <c r="L16" s="51">
        <f t="shared" ca="1" si="7"/>
        <v>30000</v>
      </c>
      <c r="M16" s="51">
        <f t="shared" ca="1" si="7"/>
        <v>30000</v>
      </c>
      <c r="N16" s="51">
        <f t="shared" ca="1" si="7"/>
        <v>30000</v>
      </c>
      <c r="O16" s="51">
        <f t="shared" ca="1" si="1"/>
        <v>100</v>
      </c>
      <c r="P16" s="51">
        <f t="shared" ca="1" si="2"/>
        <v>100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9.5">
      <c r="A17" s="854" t="s">
        <v>22</v>
      </c>
      <c r="B17" s="855"/>
      <c r="C17" s="855"/>
      <c r="D17" s="855"/>
      <c r="E17" s="855"/>
      <c r="F17" s="855"/>
      <c r="G17" s="85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1">
        <f t="shared" ref="L18:N18" ca="1" si="8">L19+L20</f>
        <v>1739210</v>
      </c>
      <c r="M18" s="21">
        <f t="shared" ca="1" si="8"/>
        <v>880910</v>
      </c>
      <c r="N18" s="21">
        <f t="shared" ca="1" si="8"/>
        <v>503491.05</v>
      </c>
      <c r="O18" s="21">
        <f t="shared" ref="O18:O26" ca="1" si="9">IF(L18&gt;0,N18*100/L18,0)</f>
        <v>28.949410939449521</v>
      </c>
      <c r="P18" s="21">
        <f t="shared" ref="P18:P26" ca="1" si="10">IF(M18&gt;0,N18*100/M18,0)</f>
        <v>57.155787764924909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75" hidden="1">
      <c r="A19" s="23"/>
      <c r="B19" s="24"/>
      <c r="C19" s="24"/>
      <c r="D19" s="24"/>
      <c r="E19" s="25" t="s">
        <v>18</v>
      </c>
      <c r="F19" s="24"/>
      <c r="G19" s="26"/>
      <c r="H19" s="27" t="s">
        <v>12</v>
      </c>
      <c r="I19" s="28"/>
      <c r="J19" s="28"/>
      <c r="K19" s="29"/>
      <c r="L19" s="29">
        <f t="shared" ref="L19:N20" si="11">L22+L25</f>
        <v>0</v>
      </c>
      <c r="M19" s="29">
        <f t="shared" si="11"/>
        <v>0</v>
      </c>
      <c r="N19" s="29">
        <f t="shared" si="11"/>
        <v>0</v>
      </c>
      <c r="O19" s="29">
        <f t="shared" si="9"/>
        <v>0</v>
      </c>
      <c r="P19" s="29">
        <f t="shared" si="10"/>
        <v>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75" hidden="1">
      <c r="A20" s="23"/>
      <c r="B20" s="24"/>
      <c r="C20" s="24"/>
      <c r="D20" s="24"/>
      <c r="E20" s="25" t="s">
        <v>19</v>
      </c>
      <c r="F20" s="24"/>
      <c r="G20" s="26"/>
      <c r="H20" s="27" t="s">
        <v>12</v>
      </c>
      <c r="I20" s="28"/>
      <c r="J20" s="28"/>
      <c r="K20" s="29"/>
      <c r="L20" s="29">
        <f t="shared" ca="1" si="11"/>
        <v>1739210</v>
      </c>
      <c r="M20" s="29">
        <f t="shared" ca="1" si="11"/>
        <v>880910</v>
      </c>
      <c r="N20" s="29">
        <f t="shared" ca="1" si="11"/>
        <v>503491.05</v>
      </c>
      <c r="O20" s="29">
        <f t="shared" ca="1" si="9"/>
        <v>28.949410939449521</v>
      </c>
      <c r="P20" s="29">
        <f t="shared" ca="1" si="10"/>
        <v>57.155787764924909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>
      <c r="A21" s="31"/>
      <c r="B21" s="32"/>
      <c r="C21" s="32"/>
      <c r="D21" s="33" t="s">
        <v>20</v>
      </c>
      <c r="E21" s="32"/>
      <c r="F21" s="32"/>
      <c r="G21" s="34"/>
      <c r="H21" s="615" t="s">
        <v>12</v>
      </c>
      <c r="I21" s="264"/>
      <c r="J21" s="264"/>
      <c r="K21" s="495"/>
      <c r="L21" s="495">
        <f t="shared" ref="L21:N21" ca="1" si="12">L22+L23</f>
        <v>1709210</v>
      </c>
      <c r="M21" s="495">
        <f t="shared" ca="1" si="12"/>
        <v>850910</v>
      </c>
      <c r="N21" s="495">
        <f t="shared" ca="1" si="12"/>
        <v>473491.05</v>
      </c>
      <c r="O21" s="495">
        <f t="shared" ca="1" si="9"/>
        <v>27.702333241673053</v>
      </c>
      <c r="P21" s="495">
        <f t="shared" ca="1" si="10"/>
        <v>55.645256255068105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hidden="1">
      <c r="A22" s="38"/>
      <c r="B22" s="39"/>
      <c r="C22" s="39"/>
      <c r="D22" s="39"/>
      <c r="E22" s="218" t="s">
        <v>18</v>
      </c>
      <c r="F22" s="39"/>
      <c r="G22" s="41"/>
      <c r="H22" s="42" t="s">
        <v>12</v>
      </c>
      <c r="I22" s="609"/>
      <c r="J22" s="609"/>
      <c r="K22" s="90"/>
      <c r="L22" s="90">
        <f t="shared" ref="L22:N23" si="13">L45+L57+L70+L92+L123+L136+L153+L185+L169+L265+L281+L302+L319+L332+L349+L393+L406</f>
        <v>0</v>
      </c>
      <c r="M22" s="90">
        <f t="shared" si="13"/>
        <v>0</v>
      </c>
      <c r="N22" s="90">
        <f t="shared" si="13"/>
        <v>0</v>
      </c>
      <c r="O22" s="90">
        <f t="shared" si="9"/>
        <v>0</v>
      </c>
      <c r="P22" s="90">
        <f t="shared" si="10"/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8.75" hidden="1">
      <c r="A23" s="38"/>
      <c r="B23" s="39"/>
      <c r="C23" s="39"/>
      <c r="D23" s="39"/>
      <c r="E23" s="218" t="s">
        <v>19</v>
      </c>
      <c r="F23" s="39"/>
      <c r="G23" s="41"/>
      <c r="H23" s="42" t="s">
        <v>12</v>
      </c>
      <c r="I23" s="609"/>
      <c r="J23" s="609"/>
      <c r="K23" s="90"/>
      <c r="L23" s="90">
        <f t="shared" ca="1" si="13"/>
        <v>1709210</v>
      </c>
      <c r="M23" s="90">
        <f t="shared" ca="1" si="13"/>
        <v>850910</v>
      </c>
      <c r="N23" s="90">
        <f t="shared" ca="1" si="13"/>
        <v>473491.05</v>
      </c>
      <c r="O23" s="90">
        <f t="shared" ca="1" si="9"/>
        <v>27.702333241673053</v>
      </c>
      <c r="P23" s="90">
        <f t="shared" ca="1" si="10"/>
        <v>55.645256255068105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8.75">
      <c r="A24" s="31"/>
      <c r="B24" s="32"/>
      <c r="C24" s="32"/>
      <c r="D24" s="33" t="s">
        <v>21</v>
      </c>
      <c r="E24" s="32"/>
      <c r="F24" s="32"/>
      <c r="G24" s="34"/>
      <c r="H24" s="615" t="s">
        <v>12</v>
      </c>
      <c r="I24" s="264"/>
      <c r="J24" s="264"/>
      <c r="K24" s="495"/>
      <c r="L24" s="495">
        <f t="shared" ref="L24:N24" ca="1" si="14">L25+L26</f>
        <v>30000</v>
      </c>
      <c r="M24" s="495">
        <f t="shared" ca="1" si="14"/>
        <v>30000</v>
      </c>
      <c r="N24" s="495">
        <f t="shared" ca="1" si="14"/>
        <v>30000</v>
      </c>
      <c r="O24" s="495">
        <f t="shared" ca="1" si="9"/>
        <v>100</v>
      </c>
      <c r="P24" s="495">
        <f t="shared" ca="1" si="10"/>
        <v>100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8.75" hidden="1">
      <c r="A25" s="38"/>
      <c r="B25" s="39"/>
      <c r="C25" s="39"/>
      <c r="D25" s="39"/>
      <c r="E25" s="218" t="s">
        <v>18</v>
      </c>
      <c r="F25" s="39"/>
      <c r="G25" s="41"/>
      <c r="H25" s="42" t="s">
        <v>12</v>
      </c>
      <c r="I25" s="609"/>
      <c r="J25" s="609"/>
      <c r="K25" s="90"/>
      <c r="L25" s="90">
        <f t="shared" ref="L25:N26" si="15">L48+L60+L73+L95+L126+L139+L156+L188+L172+L268+L284+L305+L322+L335+L352+L396+L409</f>
        <v>0</v>
      </c>
      <c r="M25" s="90">
        <f t="shared" si="15"/>
        <v>0</v>
      </c>
      <c r="N25" s="90">
        <f t="shared" si="15"/>
        <v>0</v>
      </c>
      <c r="O25" s="90">
        <f t="shared" si="9"/>
        <v>0</v>
      </c>
      <c r="P25" s="90">
        <f t="shared" si="10"/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8.75" hidden="1">
      <c r="A26" s="45"/>
      <c r="B26" s="46"/>
      <c r="C26" s="46"/>
      <c r="D26" s="46"/>
      <c r="E26" s="47" t="s">
        <v>19</v>
      </c>
      <c r="F26" s="46"/>
      <c r="G26" s="48"/>
      <c r="H26" s="49" t="s">
        <v>12</v>
      </c>
      <c r="I26" s="50"/>
      <c r="J26" s="50"/>
      <c r="K26" s="51"/>
      <c r="L26" s="51">
        <f t="shared" ca="1" si="15"/>
        <v>30000</v>
      </c>
      <c r="M26" s="51">
        <f t="shared" ca="1" si="15"/>
        <v>30000</v>
      </c>
      <c r="N26" s="51">
        <f t="shared" ca="1" si="15"/>
        <v>30000</v>
      </c>
      <c r="O26" s="51">
        <f t="shared" ca="1" si="9"/>
        <v>100</v>
      </c>
      <c r="P26" s="51">
        <f t="shared" ca="1" si="10"/>
        <v>100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9.5">
      <c r="A27" s="854" t="s">
        <v>23</v>
      </c>
      <c r="B27" s="855"/>
      <c r="C27" s="855"/>
      <c r="D27" s="855"/>
      <c r="E27" s="855"/>
      <c r="F27" s="855"/>
      <c r="G27" s="85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1">
        <f t="shared" ref="L28:N28" ca="1" si="16">L29+L30</f>
        <v>232380</v>
      </c>
      <c r="M28" s="21">
        <f t="shared" si="16"/>
        <v>0</v>
      </c>
      <c r="N28" s="21">
        <f t="shared" si="16"/>
        <v>10290</v>
      </c>
      <c r="O28" s="21">
        <f t="shared" ref="O28:O37" ca="1" si="17">IF(L28&gt;0,N28*100/L28,0)</f>
        <v>4.4280919184095016</v>
      </c>
      <c r="P28" s="21">
        <f t="shared" ref="P28:P37" si="18">IF(M28&gt;0,N28*100/M28,0)</f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8.75" hidden="1">
      <c r="A29" s="23"/>
      <c r="B29" s="24"/>
      <c r="C29" s="24"/>
      <c r="D29" s="24"/>
      <c r="E29" s="25" t="s">
        <v>18</v>
      </c>
      <c r="F29" s="24"/>
      <c r="G29" s="26"/>
      <c r="H29" s="27" t="s">
        <v>12</v>
      </c>
      <c r="I29" s="28"/>
      <c r="J29" s="28"/>
      <c r="K29" s="29"/>
      <c r="L29" s="29">
        <f t="shared" ref="L29:N30" si="19">L32+L35</f>
        <v>0</v>
      </c>
      <c r="M29" s="29">
        <f t="shared" si="19"/>
        <v>0</v>
      </c>
      <c r="N29" s="29">
        <f t="shared" si="19"/>
        <v>0</v>
      </c>
      <c r="O29" s="29">
        <f t="shared" si="17"/>
        <v>0</v>
      </c>
      <c r="P29" s="29">
        <f t="shared" si="18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8.75" hidden="1">
      <c r="A30" s="23"/>
      <c r="B30" s="24"/>
      <c r="C30" s="24"/>
      <c r="D30" s="24"/>
      <c r="E30" s="25" t="s">
        <v>19</v>
      </c>
      <c r="F30" s="24"/>
      <c r="G30" s="26"/>
      <c r="H30" s="27" t="s">
        <v>12</v>
      </c>
      <c r="I30" s="28"/>
      <c r="J30" s="28"/>
      <c r="K30" s="29"/>
      <c r="L30" s="29">
        <f t="shared" ca="1" si="19"/>
        <v>232380</v>
      </c>
      <c r="M30" s="29">
        <f t="shared" si="19"/>
        <v>0</v>
      </c>
      <c r="N30" s="29">
        <f t="shared" si="19"/>
        <v>10290</v>
      </c>
      <c r="O30" s="29">
        <f t="shared" ca="1" si="17"/>
        <v>4.4280919184095016</v>
      </c>
      <c r="P30" s="29">
        <f t="shared" si="18"/>
        <v>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.75">
      <c r="A31" s="31"/>
      <c r="B31" s="32"/>
      <c r="C31" s="32"/>
      <c r="D31" s="33" t="s">
        <v>20</v>
      </c>
      <c r="E31" s="32"/>
      <c r="F31" s="32"/>
      <c r="G31" s="34"/>
      <c r="H31" s="615" t="s">
        <v>12</v>
      </c>
      <c r="I31" s="264"/>
      <c r="J31" s="264"/>
      <c r="K31" s="495"/>
      <c r="L31" s="495">
        <f t="shared" ref="L31:N31" ca="1" si="20">L32+L33</f>
        <v>232380</v>
      </c>
      <c r="M31" s="495">
        <f t="shared" si="20"/>
        <v>0</v>
      </c>
      <c r="N31" s="495">
        <f t="shared" si="20"/>
        <v>10290</v>
      </c>
      <c r="O31" s="495">
        <f t="shared" ca="1" si="17"/>
        <v>4.4280919184095016</v>
      </c>
      <c r="P31" s="495">
        <f t="shared" si="18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8.75" hidden="1">
      <c r="A32" s="38"/>
      <c r="B32" s="39"/>
      <c r="C32" s="39"/>
      <c r="D32" s="39"/>
      <c r="E32" s="218" t="s">
        <v>18</v>
      </c>
      <c r="F32" s="39"/>
      <c r="G32" s="41"/>
      <c r="H32" s="42" t="s">
        <v>12</v>
      </c>
      <c r="I32" s="609"/>
      <c r="J32" s="609"/>
      <c r="K32" s="90"/>
      <c r="L32" s="90">
        <f t="shared" ref="L32:N33" si="21">L423+L448+L471+L506+L527+L548+L633+L659+L689+L741+L758+L774+L790+L809</f>
        <v>0</v>
      </c>
      <c r="M32" s="90">
        <f t="shared" si="21"/>
        <v>0</v>
      </c>
      <c r="N32" s="90">
        <f t="shared" si="21"/>
        <v>0</v>
      </c>
      <c r="O32" s="90">
        <f t="shared" si="17"/>
        <v>0</v>
      </c>
      <c r="P32" s="90">
        <f t="shared" si="18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8.75" hidden="1">
      <c r="A33" s="38"/>
      <c r="B33" s="39"/>
      <c r="C33" s="39"/>
      <c r="D33" s="39"/>
      <c r="E33" s="218" t="s">
        <v>19</v>
      </c>
      <c r="F33" s="39"/>
      <c r="G33" s="41"/>
      <c r="H33" s="42" t="s">
        <v>12</v>
      </c>
      <c r="I33" s="609"/>
      <c r="J33" s="609"/>
      <c r="K33" s="90"/>
      <c r="L33" s="90">
        <f t="shared" ca="1" si="21"/>
        <v>232380</v>
      </c>
      <c r="M33" s="90">
        <f t="shared" si="21"/>
        <v>0</v>
      </c>
      <c r="N33" s="90">
        <f t="shared" si="21"/>
        <v>10290</v>
      </c>
      <c r="O33" s="90">
        <f t="shared" ca="1" si="17"/>
        <v>4.4280919184095016</v>
      </c>
      <c r="P33" s="90">
        <f t="shared" si="18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8.75">
      <c r="A34" s="31"/>
      <c r="B34" s="32"/>
      <c r="C34" s="32"/>
      <c r="D34" s="33" t="s">
        <v>21</v>
      </c>
      <c r="E34" s="32"/>
      <c r="F34" s="32"/>
      <c r="G34" s="34"/>
      <c r="H34" s="615" t="s">
        <v>12</v>
      </c>
      <c r="I34" s="264"/>
      <c r="J34" s="264"/>
      <c r="K34" s="495"/>
      <c r="L34" s="495">
        <f t="shared" ref="L34:N34" ca="1" si="22">L35+L36</f>
        <v>0</v>
      </c>
      <c r="M34" s="495">
        <f t="shared" si="22"/>
        <v>0</v>
      </c>
      <c r="N34" s="495">
        <f t="shared" si="22"/>
        <v>0</v>
      </c>
      <c r="O34" s="495">
        <f t="shared" ca="1" si="17"/>
        <v>0</v>
      </c>
      <c r="P34" s="495">
        <f t="shared" si="18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8.75" hidden="1">
      <c r="A35" s="38"/>
      <c r="B35" s="39"/>
      <c r="C35" s="39"/>
      <c r="D35" s="39"/>
      <c r="E35" s="218" t="s">
        <v>18</v>
      </c>
      <c r="F35" s="39"/>
      <c r="G35" s="41"/>
      <c r="H35" s="42" t="s">
        <v>12</v>
      </c>
      <c r="I35" s="609"/>
      <c r="J35" s="609"/>
      <c r="K35" s="90"/>
      <c r="L35" s="90">
        <f t="shared" ref="L35:N36" si="23">L430+L455+L478+L513+L534+L556+L640+L666+L696+L748+L765+L781+L797+L816</f>
        <v>0</v>
      </c>
      <c r="M35" s="90">
        <f t="shared" si="23"/>
        <v>0</v>
      </c>
      <c r="N35" s="90">
        <f t="shared" si="23"/>
        <v>0</v>
      </c>
      <c r="O35" s="90">
        <f t="shared" si="17"/>
        <v>0</v>
      </c>
      <c r="P35" s="90">
        <f t="shared" si="18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8.75" hidden="1">
      <c r="A36" s="45"/>
      <c r="B36" s="46"/>
      <c r="C36" s="46"/>
      <c r="D36" s="46"/>
      <c r="E36" s="47" t="s">
        <v>19</v>
      </c>
      <c r="F36" s="46"/>
      <c r="G36" s="48"/>
      <c r="H36" s="49" t="s">
        <v>12</v>
      </c>
      <c r="I36" s="50"/>
      <c r="J36" s="50"/>
      <c r="K36" s="51"/>
      <c r="L36" s="51">
        <f t="shared" ca="1" si="23"/>
        <v>0</v>
      </c>
      <c r="M36" s="51">
        <f t="shared" si="23"/>
        <v>0</v>
      </c>
      <c r="N36" s="51">
        <f t="shared" si="23"/>
        <v>0</v>
      </c>
      <c r="O36" s="51">
        <f t="shared" ca="1" si="17"/>
        <v>0</v>
      </c>
      <c r="P36" s="51">
        <f t="shared" si="18"/>
        <v>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9.5">
      <c r="A37" s="52" t="s">
        <v>24</v>
      </c>
      <c r="B37" s="53"/>
      <c r="C37" s="53"/>
      <c r="D37" s="53"/>
      <c r="E37" s="53"/>
      <c r="F37" s="53"/>
      <c r="G37" s="54"/>
      <c r="H37" s="55"/>
      <c r="I37" s="422"/>
      <c r="J37" s="422"/>
      <c r="K37" s="57"/>
      <c r="L37" s="57">
        <f t="shared" ref="L37:N37" ca="1" si="24">L41+L53+L66+L88+L119+L132+L149+L165+L181+L261+L277+L298+L315+L328+L345+L389+L402</f>
        <v>1739210</v>
      </c>
      <c r="M37" s="57">
        <f t="shared" ca="1" si="24"/>
        <v>880910</v>
      </c>
      <c r="N37" s="57">
        <f t="shared" ca="1" si="24"/>
        <v>503491.05</v>
      </c>
      <c r="O37" s="57">
        <f t="shared" ca="1" si="17"/>
        <v>28.949410939449521</v>
      </c>
      <c r="P37" s="57">
        <f t="shared" ca="1" si="18"/>
        <v>57.155787764924909</v>
      </c>
    </row>
    <row r="38" spans="1:26" ht="19.5">
      <c r="A38" s="58" t="s">
        <v>25</v>
      </c>
      <c r="B38" s="59"/>
      <c r="C38" s="59"/>
      <c r="D38" s="59"/>
      <c r="E38" s="59"/>
      <c r="F38" s="59"/>
      <c r="G38" s="60"/>
      <c r="H38" s="61"/>
      <c r="I38" s="62"/>
      <c r="J38" s="62"/>
      <c r="K38" s="63"/>
      <c r="L38" s="63"/>
      <c r="M38" s="63"/>
      <c r="N38" s="63"/>
      <c r="O38" s="63"/>
      <c r="P38" s="63"/>
    </row>
    <row r="39" spans="1:26" ht="19.5">
      <c r="A39" s="64"/>
      <c r="B39" s="65" t="s">
        <v>26</v>
      </c>
      <c r="C39" s="66"/>
      <c r="D39" s="66"/>
      <c r="E39" s="66"/>
      <c r="F39" s="66"/>
      <c r="G39" s="67"/>
      <c r="H39" s="68"/>
      <c r="I39" s="69"/>
      <c r="J39" s="69"/>
      <c r="K39" s="70"/>
      <c r="L39" s="70"/>
      <c r="M39" s="70"/>
      <c r="N39" s="70"/>
      <c r="O39" s="70"/>
      <c r="P39" s="70"/>
    </row>
    <row r="40" spans="1:26" ht="19.5">
      <c r="A40" s="71"/>
      <c r="B40" s="857" t="s">
        <v>27</v>
      </c>
      <c r="C40" s="846"/>
      <c r="D40" s="846"/>
      <c r="E40" s="846"/>
      <c r="F40" s="846"/>
      <c r="G40" s="852"/>
      <c r="H40" s="72"/>
      <c r="I40" s="73"/>
      <c r="J40" s="73"/>
      <c r="K40" s="74"/>
      <c r="L40" s="74"/>
      <c r="M40" s="74"/>
      <c r="N40" s="74"/>
      <c r="O40" s="74"/>
      <c r="P40" s="74"/>
    </row>
    <row r="41" spans="1:26" ht="19.5">
      <c r="A41" s="75"/>
      <c r="B41" s="76"/>
      <c r="C41" s="77" t="s">
        <v>16</v>
      </c>
      <c r="D41" s="821" t="s">
        <v>17</v>
      </c>
      <c r="E41" s="76"/>
      <c r="F41" s="76"/>
      <c r="G41" s="79"/>
      <c r="H41" s="80" t="s">
        <v>12</v>
      </c>
      <c r="I41" s="81"/>
      <c r="J41" s="81"/>
      <c r="K41" s="82"/>
      <c r="L41" s="82">
        <f t="shared" ref="L41:N41" ca="1" si="25">L42+L43</f>
        <v>122700</v>
      </c>
      <c r="M41" s="82">
        <f t="shared" ca="1" si="25"/>
        <v>62700</v>
      </c>
      <c r="N41" s="82">
        <f t="shared" ca="1" si="25"/>
        <v>37200</v>
      </c>
      <c r="O41" s="82">
        <f t="shared" ref="O41:O49" ca="1" si="26">IF(L41&gt;0,N41*100/L41,0)</f>
        <v>30.317848410757946</v>
      </c>
      <c r="P41" s="82">
        <f t="shared" ref="P41:P49" ca="1" si="27">IF(M41&gt;0,N41*100/M41,0)</f>
        <v>59.330143540669859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hidden="1">
      <c r="A42" s="83"/>
      <c r="B42" s="84"/>
      <c r="C42" s="84"/>
      <c r="D42" s="84"/>
      <c r="E42" s="85" t="s">
        <v>18</v>
      </c>
      <c r="F42" s="84"/>
      <c r="G42" s="86"/>
      <c r="H42" s="87" t="s">
        <v>12</v>
      </c>
      <c r="I42" s="88"/>
      <c r="J42" s="88"/>
      <c r="K42" s="89"/>
      <c r="L42" s="89">
        <f t="shared" ref="L42:N43" si="28">L45+L48</f>
        <v>0</v>
      </c>
      <c r="M42" s="89">
        <f t="shared" si="28"/>
        <v>0</v>
      </c>
      <c r="N42" s="89">
        <f t="shared" si="28"/>
        <v>0</v>
      </c>
      <c r="O42" s="89">
        <f t="shared" si="26"/>
        <v>0</v>
      </c>
      <c r="P42" s="89">
        <f t="shared" si="27"/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hidden="1">
      <c r="A43" s="83"/>
      <c r="B43" s="84"/>
      <c r="C43" s="84"/>
      <c r="D43" s="84"/>
      <c r="E43" s="85" t="s">
        <v>19</v>
      </c>
      <c r="F43" s="84"/>
      <c r="G43" s="86"/>
      <c r="H43" s="87" t="s">
        <v>12</v>
      </c>
      <c r="I43" s="88"/>
      <c r="J43" s="88"/>
      <c r="K43" s="89"/>
      <c r="L43" s="89">
        <f t="shared" ca="1" si="28"/>
        <v>122700</v>
      </c>
      <c r="M43" s="89">
        <f t="shared" ca="1" si="28"/>
        <v>62700</v>
      </c>
      <c r="N43" s="89">
        <f t="shared" ca="1" si="28"/>
        <v>37200</v>
      </c>
      <c r="O43" s="89">
        <f t="shared" ca="1" si="26"/>
        <v>30.317848410757946</v>
      </c>
      <c r="P43" s="89">
        <f t="shared" ca="1" si="27"/>
        <v>59.330143540669859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8.75">
      <c r="A44" s="31"/>
      <c r="B44" s="32"/>
      <c r="C44" s="32"/>
      <c r="D44" s="33" t="s">
        <v>20</v>
      </c>
      <c r="E44" s="32"/>
      <c r="F44" s="32"/>
      <c r="G44" s="34"/>
      <c r="H44" s="615" t="s">
        <v>12</v>
      </c>
      <c r="I44" s="264"/>
      <c r="J44" s="264"/>
      <c r="K44" s="495"/>
      <c r="L44" s="495">
        <f t="shared" ref="L44:N44" ca="1" si="29">L45+L46</f>
        <v>122700</v>
      </c>
      <c r="M44" s="495">
        <f t="shared" ca="1" si="29"/>
        <v>62700</v>
      </c>
      <c r="N44" s="495">
        <f t="shared" ca="1" si="29"/>
        <v>37200</v>
      </c>
      <c r="O44" s="495">
        <f t="shared" ca="1" si="26"/>
        <v>30.317848410757946</v>
      </c>
      <c r="P44" s="495">
        <f t="shared" ca="1" si="27"/>
        <v>59.330143540669859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8.75" hidden="1">
      <c r="A45" s="38"/>
      <c r="B45" s="39"/>
      <c r="C45" s="39"/>
      <c r="D45" s="39"/>
      <c r="E45" s="218" t="s">
        <v>18</v>
      </c>
      <c r="F45" s="39"/>
      <c r="G45" s="41"/>
      <c r="H45" s="42" t="s">
        <v>12</v>
      </c>
      <c r="I45" s="609"/>
      <c r="J45" s="609"/>
      <c r="K45" s="90"/>
      <c r="L45" s="90">
        <v>0</v>
      </c>
      <c r="M45" s="90">
        <v>0</v>
      </c>
      <c r="N45" s="90">
        <v>0</v>
      </c>
      <c r="O45" s="90">
        <f t="shared" si="26"/>
        <v>0</v>
      </c>
      <c r="P45" s="90">
        <f t="shared" si="27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hidden="1">
      <c r="A46" s="38"/>
      <c r="B46" s="39"/>
      <c r="C46" s="39"/>
      <c r="D46" s="39"/>
      <c r="E46" s="218" t="s">
        <v>19</v>
      </c>
      <c r="F46" s="39"/>
      <c r="G46" s="41"/>
      <c r="H46" s="42" t="s">
        <v>12</v>
      </c>
      <c r="I46" s="609"/>
      <c r="J46" s="609"/>
      <c r="K46" s="90"/>
      <c r="L46" s="90">
        <f ca="1">IFERROR(__xludf.DUMMYFUNCTION("IMPORTRANGE(""https://docs.google.com/spreadsheets/d/1MeEWN-I1oV_STSDYn1IFDPWt_1FKiwhDph83XaGc0o0/edit?usp=sharing"",""งบพรบ!M73"")"),122700)</f>
        <v>122700</v>
      </c>
      <c r="M46" s="90">
        <f ca="1">IFERROR(__xludf.DUMMYFUNCTION("IMPORTRANGE(""https://docs.google.com/spreadsheets/d/1MeEWN-I1oV_STSDYn1IFDPWt_1FKiwhDph83XaGc0o0/edit?usp=sharing"",""งบพรบ!R73"")"),62700)</f>
        <v>62700</v>
      </c>
      <c r="N46" s="90">
        <f ca="1">IFERROR(__xludf.DUMMYFUNCTION("IMPORTRANGE(""https://docs.google.com/spreadsheets/d/1MeEWN-I1oV_STSDYn1IFDPWt_1FKiwhDph83XaGc0o0/edit?usp=sharing"",""งบพรบ!T73"")"),37200)</f>
        <v>37200</v>
      </c>
      <c r="O46" s="90">
        <f t="shared" ca="1" si="26"/>
        <v>30.317848410757946</v>
      </c>
      <c r="P46" s="90">
        <f t="shared" ca="1" si="27"/>
        <v>59.330143540669859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>
      <c r="A47" s="31"/>
      <c r="B47" s="32"/>
      <c r="C47" s="32"/>
      <c r="D47" s="33" t="s">
        <v>21</v>
      </c>
      <c r="E47" s="32"/>
      <c r="F47" s="32"/>
      <c r="G47" s="34"/>
      <c r="H47" s="615" t="s">
        <v>12</v>
      </c>
      <c r="I47" s="264"/>
      <c r="J47" s="264"/>
      <c r="K47" s="495"/>
      <c r="L47" s="495">
        <f t="shared" ref="L47:N47" ca="1" si="30">L48+L49</f>
        <v>0</v>
      </c>
      <c r="M47" s="495">
        <f t="shared" ca="1" si="30"/>
        <v>0</v>
      </c>
      <c r="N47" s="495">
        <f t="shared" ca="1" si="30"/>
        <v>0</v>
      </c>
      <c r="O47" s="495">
        <f t="shared" ca="1" si="26"/>
        <v>0</v>
      </c>
      <c r="P47" s="495">
        <f t="shared" ca="1" si="27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8.75" hidden="1">
      <c r="A48" s="38"/>
      <c r="B48" s="39"/>
      <c r="C48" s="39"/>
      <c r="D48" s="39"/>
      <c r="E48" s="218" t="s">
        <v>18</v>
      </c>
      <c r="F48" s="39"/>
      <c r="G48" s="41"/>
      <c r="H48" s="42" t="s">
        <v>12</v>
      </c>
      <c r="I48" s="609"/>
      <c r="J48" s="609"/>
      <c r="K48" s="90"/>
      <c r="L48" s="90">
        <v>0</v>
      </c>
      <c r="M48" s="90">
        <v>0</v>
      </c>
      <c r="N48" s="90">
        <v>0</v>
      </c>
      <c r="O48" s="90">
        <f t="shared" si="26"/>
        <v>0</v>
      </c>
      <c r="P48" s="90">
        <f t="shared" si="27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hidden="1">
      <c r="A49" s="45"/>
      <c r="B49" s="46"/>
      <c r="C49" s="46"/>
      <c r="D49" s="46"/>
      <c r="E49" s="47" t="s">
        <v>19</v>
      </c>
      <c r="F49" s="46"/>
      <c r="G49" s="48"/>
      <c r="H49" s="49" t="s">
        <v>12</v>
      </c>
      <c r="I49" s="50"/>
      <c r="J49" s="50"/>
      <c r="K49" s="51"/>
      <c r="L49" s="51">
        <f ca="1">IFERROR(__xludf.DUMMYFUNCTION("IMPORTRANGE(""https://docs.google.com/spreadsheets/d/1MeEWN-I1oV_STSDYn1IFDPWt_1FKiwhDph83XaGc0o0/edit?usp=sharing"",""งบพรบ!P73"")"),0)</f>
        <v>0</v>
      </c>
      <c r="M49" s="51">
        <f ca="1">IFERROR(__xludf.DUMMYFUNCTION("IMPORTRANGE(""https://docs.google.com/spreadsheets/d/1MeEWN-I1oV_STSDYn1IFDPWt_1FKiwhDph83XaGc0o0/edit?usp=sharing"",""งบพรบ!S73"")"),0)</f>
        <v>0</v>
      </c>
      <c r="N49" s="51">
        <f ca="1">IFERROR(__xludf.DUMMYFUNCTION("IMPORTRANGE(""https://docs.google.com/spreadsheets/d/1MeEWN-I1oV_STSDYn1IFDPWt_1FKiwhDph83XaGc0o0/edit?usp=sharing"",""งบพรบ!U73"")"),0)</f>
        <v>0</v>
      </c>
      <c r="O49" s="51">
        <f t="shared" ca="1" si="26"/>
        <v>0</v>
      </c>
      <c r="P49" s="51">
        <f t="shared" ca="1" si="27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9.5">
      <c r="A50" s="858" t="s">
        <v>28</v>
      </c>
      <c r="B50" s="855"/>
      <c r="C50" s="855"/>
      <c r="D50" s="855"/>
      <c r="E50" s="855"/>
      <c r="F50" s="855"/>
      <c r="G50" s="856"/>
      <c r="H50" s="91"/>
      <c r="I50" s="92"/>
      <c r="J50" s="92"/>
      <c r="K50" s="93"/>
      <c r="L50" s="93"/>
      <c r="M50" s="93"/>
      <c r="N50" s="93"/>
      <c r="O50" s="93"/>
      <c r="P50" s="93"/>
    </row>
    <row r="51" spans="1:26" ht="19.5">
      <c r="A51" s="94"/>
      <c r="B51" s="851" t="s">
        <v>29</v>
      </c>
      <c r="C51" s="846"/>
      <c r="D51" s="846"/>
      <c r="E51" s="846"/>
      <c r="F51" s="846"/>
      <c r="G51" s="852"/>
      <c r="H51" s="95"/>
      <c r="I51" s="96"/>
      <c r="J51" s="96"/>
      <c r="K51" s="97"/>
      <c r="L51" s="97"/>
      <c r="M51" s="97"/>
      <c r="N51" s="97"/>
      <c r="O51" s="97"/>
      <c r="P51" s="97"/>
    </row>
    <row r="52" spans="1:26" ht="19.5">
      <c r="A52" s="98"/>
      <c r="B52" s="99" t="s">
        <v>30</v>
      </c>
      <c r="C52" s="100"/>
      <c r="D52" s="100"/>
      <c r="E52" s="100"/>
      <c r="F52" s="100"/>
      <c r="G52" s="101"/>
      <c r="H52" s="102"/>
      <c r="I52" s="103"/>
      <c r="J52" s="103"/>
      <c r="K52" s="104"/>
      <c r="L52" s="104"/>
      <c r="M52" s="104"/>
      <c r="N52" s="104"/>
      <c r="O52" s="104"/>
      <c r="P52" s="104"/>
    </row>
    <row r="53" spans="1:26" ht="19.5">
      <c r="A53" s="105"/>
      <c r="B53" s="106"/>
      <c r="C53" s="107" t="s">
        <v>16</v>
      </c>
      <c r="D53" s="823" t="s">
        <v>17</v>
      </c>
      <c r="E53" s="106"/>
      <c r="F53" s="106"/>
      <c r="G53" s="109"/>
      <c r="H53" s="110" t="s">
        <v>12</v>
      </c>
      <c r="I53" s="111"/>
      <c r="J53" s="111"/>
      <c r="K53" s="112"/>
      <c r="L53" s="112">
        <f t="shared" ref="L53:N53" ca="1" si="31">L54+L55</f>
        <v>839900</v>
      </c>
      <c r="M53" s="112">
        <f t="shared" ca="1" si="31"/>
        <v>419950</v>
      </c>
      <c r="N53" s="112">
        <f t="shared" ca="1" si="31"/>
        <v>319185.55</v>
      </c>
      <c r="O53" s="112">
        <f t="shared" ref="O53:O61" ca="1" si="32">IF(L53&gt;0,N53*100/L53,0)</f>
        <v>38.002803905226813</v>
      </c>
      <c r="P53" s="112">
        <f t="shared" ref="P53:P61" ca="1" si="33">IF(M53&gt;0,N53*100/M53,0)</f>
        <v>76.005607810453625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8.75" hidden="1">
      <c r="A54" s="113"/>
      <c r="B54" s="114"/>
      <c r="C54" s="114"/>
      <c r="D54" s="114"/>
      <c r="E54" s="115" t="s">
        <v>18</v>
      </c>
      <c r="F54" s="114"/>
      <c r="G54" s="116"/>
      <c r="H54" s="117" t="s">
        <v>12</v>
      </c>
      <c r="I54" s="118"/>
      <c r="J54" s="118"/>
      <c r="K54" s="119"/>
      <c r="L54" s="119">
        <f t="shared" ref="L54:N55" si="34">L57+L60</f>
        <v>0</v>
      </c>
      <c r="M54" s="119">
        <f t="shared" si="34"/>
        <v>0</v>
      </c>
      <c r="N54" s="119">
        <f t="shared" si="34"/>
        <v>0</v>
      </c>
      <c r="O54" s="119">
        <f t="shared" si="32"/>
        <v>0</v>
      </c>
      <c r="P54" s="119">
        <f t="shared" si="33"/>
        <v>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hidden="1">
      <c r="A55" s="113"/>
      <c r="B55" s="114"/>
      <c r="C55" s="114"/>
      <c r="D55" s="114"/>
      <c r="E55" s="115" t="s">
        <v>19</v>
      </c>
      <c r="F55" s="114"/>
      <c r="G55" s="116"/>
      <c r="H55" s="117" t="s">
        <v>12</v>
      </c>
      <c r="I55" s="118"/>
      <c r="J55" s="118"/>
      <c r="K55" s="119"/>
      <c r="L55" s="119">
        <f t="shared" ca="1" si="34"/>
        <v>839900</v>
      </c>
      <c r="M55" s="119">
        <f t="shared" ca="1" si="34"/>
        <v>419950</v>
      </c>
      <c r="N55" s="119">
        <f t="shared" ca="1" si="34"/>
        <v>319185.55</v>
      </c>
      <c r="O55" s="119">
        <f t="shared" ca="1" si="32"/>
        <v>38.002803905226813</v>
      </c>
      <c r="P55" s="119">
        <f t="shared" ca="1" si="33"/>
        <v>76.005607810453625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>
      <c r="A56" s="31"/>
      <c r="B56" s="32"/>
      <c r="C56" s="32"/>
      <c r="D56" s="33" t="s">
        <v>20</v>
      </c>
      <c r="E56" s="32"/>
      <c r="F56" s="32"/>
      <c r="G56" s="34"/>
      <c r="H56" s="615" t="s">
        <v>12</v>
      </c>
      <c r="I56" s="264"/>
      <c r="J56" s="264"/>
      <c r="K56" s="495"/>
      <c r="L56" s="495">
        <f t="shared" ref="L56:N56" ca="1" si="35">L57+L58</f>
        <v>839900</v>
      </c>
      <c r="M56" s="495">
        <f t="shared" ca="1" si="35"/>
        <v>419950</v>
      </c>
      <c r="N56" s="495">
        <f t="shared" ca="1" si="35"/>
        <v>319185.55</v>
      </c>
      <c r="O56" s="495">
        <f t="shared" ca="1" si="32"/>
        <v>38.002803905226813</v>
      </c>
      <c r="P56" s="495">
        <f t="shared" ca="1" si="33"/>
        <v>76.005607810453625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8.75" hidden="1">
      <c r="A57" s="38"/>
      <c r="B57" s="39"/>
      <c r="C57" s="39"/>
      <c r="D57" s="39"/>
      <c r="E57" s="218" t="s">
        <v>18</v>
      </c>
      <c r="F57" s="39"/>
      <c r="G57" s="41"/>
      <c r="H57" s="42" t="s">
        <v>12</v>
      </c>
      <c r="I57" s="609"/>
      <c r="J57" s="609"/>
      <c r="K57" s="90"/>
      <c r="L57" s="90">
        <v>0</v>
      </c>
      <c r="M57" s="90">
        <v>0</v>
      </c>
      <c r="N57" s="90">
        <v>0</v>
      </c>
      <c r="O57" s="90">
        <f t="shared" si="32"/>
        <v>0</v>
      </c>
      <c r="P57" s="90">
        <f t="shared" si="33"/>
        <v>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hidden="1">
      <c r="A58" s="38"/>
      <c r="B58" s="39"/>
      <c r="C58" s="39"/>
      <c r="D58" s="39"/>
      <c r="E58" s="218" t="s">
        <v>19</v>
      </c>
      <c r="F58" s="39"/>
      <c r="G58" s="41"/>
      <c r="H58" s="42" t="s">
        <v>12</v>
      </c>
      <c r="I58" s="609"/>
      <c r="J58" s="609"/>
      <c r="K58" s="90"/>
      <c r="L58" s="90">
        <f ca="1">IFERROR(__xludf.DUMMYFUNCTION("IMPORTRANGE(""https://docs.google.com/spreadsheets/d/1MeEWN-I1oV_STSDYn1IFDPWt_1FKiwhDph83XaGc0o0/edit?usp=sharing"",""งบพรบ!W73"")"),839900)</f>
        <v>839900</v>
      </c>
      <c r="M58" s="90">
        <f ca="1">IFERROR(__xludf.DUMMYFUNCTION("IMPORTRANGE(""https://docs.google.com/spreadsheets/d/1MeEWN-I1oV_STSDYn1IFDPWt_1FKiwhDph83XaGc0o0/edit?usp=sharing"",""งบพรบ!AB73"")"),419950)</f>
        <v>419950</v>
      </c>
      <c r="N58" s="90">
        <f ca="1">IFERROR(__xludf.DUMMYFUNCTION("IMPORTRANGE(""https://docs.google.com/spreadsheets/d/1MeEWN-I1oV_STSDYn1IFDPWt_1FKiwhDph83XaGc0o0/edit?usp=sharing"",""งบพรบ!AD73"")"),319185.55)</f>
        <v>319185.55</v>
      </c>
      <c r="O58" s="90">
        <f t="shared" ca="1" si="32"/>
        <v>38.002803905226813</v>
      </c>
      <c r="P58" s="90">
        <f t="shared" ca="1" si="33"/>
        <v>76.005607810453625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>
      <c r="A59" s="31"/>
      <c r="B59" s="32"/>
      <c r="C59" s="32"/>
      <c r="D59" s="33" t="s">
        <v>21</v>
      </c>
      <c r="E59" s="32"/>
      <c r="F59" s="32"/>
      <c r="G59" s="34"/>
      <c r="H59" s="615" t="s">
        <v>12</v>
      </c>
      <c r="I59" s="264"/>
      <c r="J59" s="264"/>
      <c r="K59" s="495"/>
      <c r="L59" s="495">
        <f t="shared" ref="L59:N59" ca="1" si="36">L60+L61</f>
        <v>0</v>
      </c>
      <c r="M59" s="495">
        <f t="shared" ca="1" si="36"/>
        <v>0</v>
      </c>
      <c r="N59" s="495">
        <f t="shared" ca="1" si="36"/>
        <v>0</v>
      </c>
      <c r="O59" s="495">
        <f t="shared" ca="1" si="32"/>
        <v>0</v>
      </c>
      <c r="P59" s="495">
        <f t="shared" ca="1" si="33"/>
        <v>0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8.75" hidden="1">
      <c r="A60" s="38"/>
      <c r="B60" s="39"/>
      <c r="C60" s="39"/>
      <c r="D60" s="39"/>
      <c r="E60" s="218" t="s">
        <v>18</v>
      </c>
      <c r="F60" s="39"/>
      <c r="G60" s="41"/>
      <c r="H60" s="42" t="s">
        <v>12</v>
      </c>
      <c r="I60" s="609"/>
      <c r="J60" s="609"/>
      <c r="K60" s="90"/>
      <c r="L60" s="90">
        <v>0</v>
      </c>
      <c r="M60" s="90">
        <v>0</v>
      </c>
      <c r="N60" s="90">
        <v>0</v>
      </c>
      <c r="O60" s="90">
        <f t="shared" si="32"/>
        <v>0</v>
      </c>
      <c r="P60" s="90">
        <f t="shared" si="3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hidden="1">
      <c r="A61" s="45"/>
      <c r="B61" s="46"/>
      <c r="C61" s="46"/>
      <c r="D61" s="46"/>
      <c r="E61" s="47" t="s">
        <v>19</v>
      </c>
      <c r="F61" s="46"/>
      <c r="G61" s="48"/>
      <c r="H61" s="49" t="s">
        <v>12</v>
      </c>
      <c r="I61" s="50"/>
      <c r="J61" s="50"/>
      <c r="K61" s="51"/>
      <c r="L61" s="51">
        <f ca="1">IFERROR(__xludf.DUMMYFUNCTION("IMPORTRANGE(""https://docs.google.com/spreadsheets/d/1MeEWN-I1oV_STSDYn1IFDPWt_1FKiwhDph83XaGc0o0/edit?usp=sharing"",""งบพรบ!Z73"")"),0)</f>
        <v>0</v>
      </c>
      <c r="M61" s="51">
        <f ca="1">IFERROR(__xludf.DUMMYFUNCTION("IMPORTRANGE(""https://docs.google.com/spreadsheets/d/1MeEWN-I1oV_STSDYn1IFDPWt_1FKiwhDph83XaGc0o0/edit?usp=sharing"",""งบพรบ!AC73"")"),0)</f>
        <v>0</v>
      </c>
      <c r="N61" s="51">
        <f ca="1">IFERROR(__xludf.DUMMYFUNCTION("IMPORTRANGE(""https://docs.google.com/spreadsheets/d/1MeEWN-I1oV_STSDYn1IFDPWt_1FKiwhDph83XaGc0o0/edit?usp=sharing"",""งบพรบ!AE73"")"),0)</f>
        <v>0</v>
      </c>
      <c r="O61" s="51">
        <f t="shared" ca="1" si="32"/>
        <v>0</v>
      </c>
      <c r="P61" s="51">
        <f t="shared" ca="1" si="33"/>
        <v>0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>
      <c r="A62" s="120" t="s">
        <v>31</v>
      </c>
      <c r="B62" s="121"/>
      <c r="C62" s="121"/>
      <c r="D62" s="121"/>
      <c r="E62" s="122"/>
      <c r="F62" s="122"/>
      <c r="G62" s="123"/>
      <c r="H62" s="124"/>
      <c r="I62" s="125"/>
      <c r="J62" s="125"/>
      <c r="K62" s="126"/>
      <c r="L62" s="126"/>
      <c r="M62" s="126"/>
      <c r="N62" s="126"/>
      <c r="O62" s="126"/>
      <c r="P62" s="126"/>
    </row>
    <row r="63" spans="1:26" ht="19.5" hidden="1">
      <c r="A63" s="127" t="s">
        <v>32</v>
      </c>
      <c r="B63" s="128"/>
      <c r="C63" s="129"/>
      <c r="D63" s="128"/>
      <c r="E63" s="128"/>
      <c r="F63" s="128"/>
      <c r="G63" s="130"/>
      <c r="H63" s="131"/>
      <c r="I63" s="132"/>
      <c r="J63" s="132"/>
      <c r="K63" s="133"/>
      <c r="L63" s="133"/>
      <c r="M63" s="133"/>
      <c r="N63" s="133"/>
      <c r="O63" s="133"/>
      <c r="P63" s="133"/>
    </row>
    <row r="64" spans="1:26" ht="19.5" hidden="1">
      <c r="A64" s="134"/>
      <c r="B64" s="204" t="s">
        <v>33</v>
      </c>
      <c r="C64" s="136"/>
      <c r="D64" s="137"/>
      <c r="E64" s="136"/>
      <c r="F64" s="136"/>
      <c r="G64" s="138"/>
      <c r="H64" s="139" t="s">
        <v>34</v>
      </c>
      <c r="I64" s="140">
        <f t="shared" ref="I64:J65" ca="1" si="37">I76</f>
        <v>0</v>
      </c>
      <c r="J64" s="140">
        <f t="shared" si="37"/>
        <v>0</v>
      </c>
      <c r="K64" s="141">
        <f t="shared" ref="K64:K65" ca="1" si="38">IF(I64&gt;0,J64*100/I64,0)</f>
        <v>0</v>
      </c>
      <c r="L64" s="142"/>
      <c r="M64" s="142"/>
      <c r="N64" s="142"/>
      <c r="O64" s="142"/>
      <c r="P64" s="142"/>
    </row>
    <row r="65" spans="1:26" ht="19.5" hidden="1">
      <c r="A65" s="134"/>
      <c r="B65" s="136"/>
      <c r="C65" s="136"/>
      <c r="D65" s="137"/>
      <c r="E65" s="136"/>
      <c r="F65" s="136"/>
      <c r="G65" s="138"/>
      <c r="H65" s="139" t="s">
        <v>35</v>
      </c>
      <c r="I65" s="140">
        <f t="shared" ca="1" si="37"/>
        <v>0</v>
      </c>
      <c r="J65" s="140">
        <f t="shared" si="37"/>
        <v>0</v>
      </c>
      <c r="K65" s="141">
        <f t="shared" ca="1" si="38"/>
        <v>0</v>
      </c>
      <c r="L65" s="142"/>
      <c r="M65" s="142"/>
      <c r="N65" s="142"/>
      <c r="O65" s="142"/>
      <c r="P65" s="142"/>
    </row>
    <row r="66" spans="1:26" ht="19.5" hidden="1">
      <c r="A66" s="143"/>
      <c r="B66" s="144"/>
      <c r="C66" s="145" t="s">
        <v>16</v>
      </c>
      <c r="D66" s="825" t="s">
        <v>17</v>
      </c>
      <c r="E66" s="144"/>
      <c r="F66" s="144"/>
      <c r="G66" s="147"/>
      <c r="H66" s="148" t="s">
        <v>12</v>
      </c>
      <c r="I66" s="418"/>
      <c r="J66" s="418"/>
      <c r="K66" s="150"/>
      <c r="L66" s="151">
        <f t="shared" ref="L66:N66" ca="1" si="39">L67+L68</f>
        <v>0</v>
      </c>
      <c r="M66" s="151">
        <f t="shared" ca="1" si="39"/>
        <v>0</v>
      </c>
      <c r="N66" s="151">
        <f t="shared" ca="1" si="39"/>
        <v>0</v>
      </c>
      <c r="O66" s="151">
        <f t="shared" ref="O66:O74" ca="1" si="40">IF(L66&gt;0,N66*100/L66,0)</f>
        <v>0</v>
      </c>
      <c r="P66" s="151">
        <f t="shared" ref="P66:P74" ca="1" si="41">IF(M66&gt;0,N66*100/M66,0)</f>
        <v>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8.75" hidden="1">
      <c r="A67" s="152"/>
      <c r="B67" s="39"/>
      <c r="C67" s="39"/>
      <c r="D67" s="39"/>
      <c r="E67" s="218" t="s">
        <v>18</v>
      </c>
      <c r="F67" s="39"/>
      <c r="G67" s="153"/>
      <c r="H67" s="154" t="s">
        <v>12</v>
      </c>
      <c r="I67" s="609"/>
      <c r="J67" s="609"/>
      <c r="K67" s="90"/>
      <c r="L67" s="90">
        <f t="shared" ref="L67:N68" si="42">L70+L73</f>
        <v>0</v>
      </c>
      <c r="M67" s="90">
        <f t="shared" si="42"/>
        <v>0</v>
      </c>
      <c r="N67" s="90">
        <f t="shared" si="42"/>
        <v>0</v>
      </c>
      <c r="O67" s="90">
        <f t="shared" si="40"/>
        <v>0</v>
      </c>
      <c r="P67" s="90">
        <f t="shared" si="41"/>
        <v>0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hidden="1">
      <c r="A68" s="152"/>
      <c r="B68" s="39"/>
      <c r="C68" s="39"/>
      <c r="D68" s="39"/>
      <c r="E68" s="218" t="s">
        <v>19</v>
      </c>
      <c r="F68" s="39"/>
      <c r="G68" s="153"/>
      <c r="H68" s="154" t="s">
        <v>12</v>
      </c>
      <c r="I68" s="609"/>
      <c r="J68" s="609"/>
      <c r="K68" s="90"/>
      <c r="L68" s="90">
        <f t="shared" ca="1" si="42"/>
        <v>0</v>
      </c>
      <c r="M68" s="90">
        <f t="shared" ca="1" si="42"/>
        <v>0</v>
      </c>
      <c r="N68" s="90">
        <f t="shared" ca="1" si="42"/>
        <v>0</v>
      </c>
      <c r="O68" s="90">
        <f t="shared" ca="1" si="40"/>
        <v>0</v>
      </c>
      <c r="P68" s="90">
        <f t="shared" ca="1" si="41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hidden="1">
      <c r="A69" s="155"/>
      <c r="B69" s="32"/>
      <c r="C69" s="276"/>
      <c r="D69" s="33" t="s">
        <v>20</v>
      </c>
      <c r="E69" s="32"/>
      <c r="F69" s="32"/>
      <c r="G69" s="34"/>
      <c r="H69" s="157" t="s">
        <v>12</v>
      </c>
      <c r="I69" s="180"/>
      <c r="J69" s="180"/>
      <c r="K69" s="159"/>
      <c r="L69" s="495">
        <f t="shared" ref="L69:N69" ca="1" si="43">L70+L71</f>
        <v>0</v>
      </c>
      <c r="M69" s="495">
        <f t="shared" ca="1" si="43"/>
        <v>0</v>
      </c>
      <c r="N69" s="495">
        <f t="shared" ca="1" si="43"/>
        <v>0</v>
      </c>
      <c r="O69" s="495">
        <f t="shared" ca="1" si="40"/>
        <v>0</v>
      </c>
      <c r="P69" s="495">
        <f t="shared" ca="1" si="41"/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9.5" hidden="1">
      <c r="A70" s="152"/>
      <c r="B70" s="39"/>
      <c r="C70" s="160"/>
      <c r="D70" s="39"/>
      <c r="E70" s="218" t="s">
        <v>36</v>
      </c>
      <c r="F70" s="39"/>
      <c r="G70" s="153"/>
      <c r="H70" s="161" t="s">
        <v>12</v>
      </c>
      <c r="I70" s="162"/>
      <c r="J70" s="162"/>
      <c r="K70" s="163"/>
      <c r="L70" s="90">
        <v>0</v>
      </c>
      <c r="M70" s="90">
        <v>0</v>
      </c>
      <c r="N70" s="90">
        <v>0</v>
      </c>
      <c r="O70" s="90">
        <f t="shared" si="40"/>
        <v>0</v>
      </c>
      <c r="P70" s="90">
        <f t="shared" si="41"/>
        <v>0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9.5" hidden="1">
      <c r="A71" s="152"/>
      <c r="B71" s="39"/>
      <c r="C71" s="160"/>
      <c r="D71" s="39"/>
      <c r="E71" s="218" t="s">
        <v>37</v>
      </c>
      <c r="F71" s="39"/>
      <c r="G71" s="153"/>
      <c r="H71" s="161" t="s">
        <v>12</v>
      </c>
      <c r="I71" s="162"/>
      <c r="J71" s="162"/>
      <c r="K71" s="163"/>
      <c r="L71" s="90">
        <f ca="1">IFERROR(__xludf.DUMMYFUNCTION("IMPORTRANGE(""https://docs.google.com/spreadsheets/d/1MeEWN-I1oV_STSDYn1IFDPWt_1FKiwhDph83XaGc0o0/edit?usp=sharing"",""งบพรบ!AG73"")"),0)</f>
        <v>0</v>
      </c>
      <c r="M71" s="90">
        <f ca="1">IFERROR(__xludf.DUMMYFUNCTION("IMPORTRANGE(""https://docs.google.com/spreadsheets/d/1MeEWN-I1oV_STSDYn1IFDPWt_1FKiwhDph83XaGc0o0/edit?usp=sharing"",""งบพรบ!AL73"")"),0)</f>
        <v>0</v>
      </c>
      <c r="N71" s="90">
        <f ca="1">IFERROR(__xludf.DUMMYFUNCTION("IMPORTRANGE(""https://docs.google.com/spreadsheets/d/1MeEWN-I1oV_STSDYn1IFDPWt_1FKiwhDph83XaGc0o0/edit?usp=sharing"",""งบพรบ!AN73"")"),0)</f>
        <v>0</v>
      </c>
      <c r="O71" s="90">
        <f t="shared" ca="1" si="40"/>
        <v>0</v>
      </c>
      <c r="P71" s="90">
        <f t="shared" ca="1" si="41"/>
        <v>0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hidden="1">
      <c r="A72" s="155"/>
      <c r="B72" s="32"/>
      <c r="C72" s="276"/>
      <c r="D72" s="33" t="s">
        <v>21</v>
      </c>
      <c r="E72" s="32"/>
      <c r="F72" s="32"/>
      <c r="G72" s="34"/>
      <c r="H72" s="164" t="s">
        <v>12</v>
      </c>
      <c r="I72" s="180"/>
      <c r="J72" s="180"/>
      <c r="K72" s="159"/>
      <c r="L72" s="495">
        <f t="shared" ref="L72:N72" ca="1" si="44">L73+L74</f>
        <v>0</v>
      </c>
      <c r="M72" s="495">
        <f t="shared" ca="1" si="44"/>
        <v>0</v>
      </c>
      <c r="N72" s="495">
        <f t="shared" ca="1" si="44"/>
        <v>0</v>
      </c>
      <c r="O72" s="495">
        <f t="shared" ca="1" si="40"/>
        <v>0</v>
      </c>
      <c r="P72" s="495">
        <f t="shared" ca="1" si="41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9.5" hidden="1">
      <c r="A73" s="152"/>
      <c r="B73" s="39"/>
      <c r="C73" s="160"/>
      <c r="D73" s="39"/>
      <c r="E73" s="218" t="s">
        <v>18</v>
      </c>
      <c r="F73" s="39"/>
      <c r="G73" s="153"/>
      <c r="H73" s="161" t="s">
        <v>12</v>
      </c>
      <c r="I73" s="162"/>
      <c r="J73" s="162"/>
      <c r="K73" s="163"/>
      <c r="L73" s="90">
        <v>0</v>
      </c>
      <c r="M73" s="90"/>
      <c r="N73" s="90"/>
      <c r="O73" s="90">
        <f t="shared" si="40"/>
        <v>0</v>
      </c>
      <c r="P73" s="90">
        <f t="shared" si="41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9.5" hidden="1">
      <c r="A74" s="152"/>
      <c r="B74" s="39"/>
      <c r="C74" s="160"/>
      <c r="D74" s="39"/>
      <c r="E74" s="218" t="s">
        <v>19</v>
      </c>
      <c r="F74" s="39"/>
      <c r="G74" s="153"/>
      <c r="H74" s="165" t="s">
        <v>12</v>
      </c>
      <c r="I74" s="162"/>
      <c r="J74" s="162"/>
      <c r="K74" s="163"/>
      <c r="L74" s="90">
        <f ca="1">IFERROR(__xludf.DUMMYFUNCTION("IMPORTRANGE(""https://docs.google.com/spreadsheets/d/1MeEWN-I1oV_STSDYn1IFDPWt_1FKiwhDph83XaGc0o0/edit?usp=sharing"",""งบพรบ!AJ73"")"),0)</f>
        <v>0</v>
      </c>
      <c r="M74" s="90">
        <f ca="1">IFERROR(__xludf.DUMMYFUNCTION("IMPORTRANGE(""https://docs.google.com/spreadsheets/d/1MeEWN-I1oV_STSDYn1IFDPWt_1FKiwhDph83XaGc0o0/edit?usp=sharing"",""งบพรบ!AM73"")"),0)</f>
        <v>0</v>
      </c>
      <c r="N74" s="90">
        <f ca="1">IFERROR(__xludf.DUMMYFUNCTION("IMPORTRANGE(""https://docs.google.com/spreadsheets/d/1MeEWN-I1oV_STSDYn1IFDPWt_1FKiwhDph83XaGc0o0/edit?usp=sharing"",""งบพรบ!AO73"")"),0)</f>
        <v>0</v>
      </c>
      <c r="O74" s="90">
        <f t="shared" ca="1" si="40"/>
        <v>0</v>
      </c>
      <c r="P74" s="90">
        <f t="shared" ca="1" si="41"/>
        <v>0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9.5" hidden="1">
      <c r="A75" s="166"/>
      <c r="B75" s="167"/>
      <c r="C75" s="160" t="s">
        <v>16</v>
      </c>
      <c r="D75" s="826" t="s">
        <v>38</v>
      </c>
      <c r="E75" s="169"/>
      <c r="F75" s="169"/>
      <c r="G75" s="170"/>
      <c r="H75" s="752"/>
      <c r="I75" s="180"/>
      <c r="J75" s="180"/>
      <c r="K75" s="159"/>
      <c r="L75" s="159"/>
      <c r="M75" s="159"/>
      <c r="N75" s="159"/>
      <c r="O75" s="159"/>
      <c r="P75" s="159"/>
    </row>
    <row r="76" spans="1:26" ht="19.5" hidden="1">
      <c r="A76" s="166"/>
      <c r="B76" s="167"/>
      <c r="C76" s="167"/>
      <c r="D76" s="172" t="s">
        <v>39</v>
      </c>
      <c r="E76" s="445"/>
      <c r="F76" s="174"/>
      <c r="G76" s="175"/>
      <c r="H76" s="176" t="s">
        <v>34</v>
      </c>
      <c r="I76" s="264">
        <f t="shared" ref="I76:J77" ca="1" si="45">I78+I80+I82</f>
        <v>0</v>
      </c>
      <c r="J76" s="264">
        <f t="shared" si="45"/>
        <v>0</v>
      </c>
      <c r="K76" s="159">
        <f t="shared" ref="K76:K84" ca="1" si="46">IF(I76&gt;0,J76*100/I76,0)</f>
        <v>0</v>
      </c>
      <c r="L76" s="159"/>
      <c r="M76" s="159"/>
      <c r="N76" s="159"/>
      <c r="O76" s="159"/>
      <c r="P76" s="159"/>
    </row>
    <row r="77" spans="1:26" ht="19.5" hidden="1">
      <c r="A77" s="166"/>
      <c r="B77" s="167"/>
      <c r="C77" s="167"/>
      <c r="D77" s="167"/>
      <c r="E77" s="174"/>
      <c r="F77" s="174"/>
      <c r="G77" s="175"/>
      <c r="H77" s="176" t="s">
        <v>35</v>
      </c>
      <c r="I77" s="264">
        <f t="shared" ca="1" si="45"/>
        <v>0</v>
      </c>
      <c r="J77" s="264">
        <f t="shared" si="45"/>
        <v>0</v>
      </c>
      <c r="K77" s="159">
        <f t="shared" ca="1" si="46"/>
        <v>0</v>
      </c>
      <c r="L77" s="159"/>
      <c r="M77" s="159"/>
      <c r="N77" s="159"/>
      <c r="O77" s="159"/>
      <c r="P77" s="159"/>
    </row>
    <row r="78" spans="1:26" ht="18.75" hidden="1">
      <c r="A78" s="166"/>
      <c r="B78" s="167"/>
      <c r="C78" s="167"/>
      <c r="D78" s="167"/>
      <c r="E78" s="445" t="s">
        <v>40</v>
      </c>
      <c r="F78" s="445"/>
      <c r="G78" s="175"/>
      <c r="H78" s="754" t="s">
        <v>34</v>
      </c>
      <c r="I78" s="180">
        <f ca="1">IFERROR(__xludf.DUMMYFUNCTION("IMPORTRANGE(""https://docs.google.com/spreadsheets/d/1QqKyyYR6Q21VydFLVH3TRQUabQu_ym0Zz7PgGX0-kHA/edit?usp=sharing"",""แผน!H73"")"),0)</f>
        <v>0</v>
      </c>
      <c r="J78" s="210">
        <v>0</v>
      </c>
      <c r="K78" s="159">
        <f t="shared" ca="1" si="46"/>
        <v>0</v>
      </c>
      <c r="L78" s="159"/>
      <c r="M78" s="159"/>
      <c r="N78" s="159"/>
      <c r="O78" s="159"/>
      <c r="P78" s="159"/>
    </row>
    <row r="79" spans="1:26" ht="18.75" hidden="1">
      <c r="A79" s="166"/>
      <c r="B79" s="167"/>
      <c r="C79" s="167"/>
      <c r="D79" s="167"/>
      <c r="E79" s="174"/>
      <c r="F79" s="174"/>
      <c r="G79" s="175"/>
      <c r="H79" s="754" t="s">
        <v>35</v>
      </c>
      <c r="I79" s="180">
        <f ca="1">IFERROR(__xludf.DUMMYFUNCTION("IMPORTRANGE(""https://docs.google.com/spreadsheets/d/1QqKyyYR6Q21VydFLVH3TRQUabQu_ym0Zz7PgGX0-kHA/edit?usp=sharing"",""แผน!I73"")"),0)</f>
        <v>0</v>
      </c>
      <c r="J79" s="210">
        <v>0</v>
      </c>
      <c r="K79" s="159">
        <f t="shared" ca="1" si="46"/>
        <v>0</v>
      </c>
      <c r="L79" s="159"/>
      <c r="M79" s="159"/>
      <c r="N79" s="159"/>
      <c r="O79" s="159"/>
      <c r="P79" s="159"/>
    </row>
    <row r="80" spans="1:26" ht="18.75" hidden="1">
      <c r="A80" s="166"/>
      <c r="B80" s="167"/>
      <c r="C80" s="167"/>
      <c r="D80" s="167"/>
      <c r="E80" s="445" t="s">
        <v>41</v>
      </c>
      <c r="F80" s="445"/>
      <c r="G80" s="175"/>
      <c r="H80" s="754" t="s">
        <v>34</v>
      </c>
      <c r="I80" s="180">
        <f ca="1">IFERROR(__xludf.DUMMYFUNCTION("IMPORTRANGE(""https://docs.google.com/spreadsheets/d/1QqKyyYR6Q21VydFLVH3TRQUabQu_ym0Zz7PgGX0-kHA/edit?usp=sharing"",""แผน!F73"")"),0)</f>
        <v>0</v>
      </c>
      <c r="J80" s="210">
        <v>0</v>
      </c>
      <c r="K80" s="159">
        <f t="shared" ca="1" si="46"/>
        <v>0</v>
      </c>
      <c r="L80" s="159"/>
      <c r="M80" s="159"/>
      <c r="N80" s="159"/>
      <c r="O80" s="159"/>
      <c r="P80" s="159"/>
    </row>
    <row r="81" spans="1:26" ht="18.75" hidden="1">
      <c r="A81" s="166"/>
      <c r="B81" s="167"/>
      <c r="C81" s="167"/>
      <c r="D81" s="167"/>
      <c r="E81" s="174"/>
      <c r="F81" s="174"/>
      <c r="G81" s="175"/>
      <c r="H81" s="754" t="s">
        <v>35</v>
      </c>
      <c r="I81" s="180">
        <f ca="1">IFERROR(__xludf.DUMMYFUNCTION("IMPORTRANGE(""https://docs.google.com/spreadsheets/d/1QqKyyYR6Q21VydFLVH3TRQUabQu_ym0Zz7PgGX0-kHA/edit?usp=sharing"",""แผน!G73"")"),0)</f>
        <v>0</v>
      </c>
      <c r="J81" s="210">
        <v>0</v>
      </c>
      <c r="K81" s="159">
        <f t="shared" ca="1" si="46"/>
        <v>0</v>
      </c>
      <c r="L81" s="159"/>
      <c r="M81" s="159"/>
      <c r="N81" s="159"/>
      <c r="O81" s="159"/>
      <c r="P81" s="159"/>
    </row>
    <row r="82" spans="1:26" ht="18.75" hidden="1">
      <c r="A82" s="166"/>
      <c r="B82" s="167"/>
      <c r="C82" s="167"/>
      <c r="D82" s="167"/>
      <c r="E82" s="445" t="s">
        <v>42</v>
      </c>
      <c r="F82" s="445"/>
      <c r="G82" s="175"/>
      <c r="H82" s="754" t="s">
        <v>34</v>
      </c>
      <c r="I82" s="180">
        <f ca="1">IFERROR(__xludf.DUMMYFUNCTION("IMPORTRANGE(""https://docs.google.com/spreadsheets/d/1QqKyyYR6Q21VydFLVH3TRQUabQu_ym0Zz7PgGX0-kHA/edit?usp=sharing"",""แผน!D73"")"),0)</f>
        <v>0</v>
      </c>
      <c r="J82" s="210">
        <v>0</v>
      </c>
      <c r="K82" s="159">
        <f t="shared" ca="1" si="46"/>
        <v>0</v>
      </c>
      <c r="L82" s="159"/>
      <c r="M82" s="159"/>
      <c r="N82" s="159"/>
      <c r="O82" s="159"/>
      <c r="P82" s="159"/>
    </row>
    <row r="83" spans="1:26" ht="18.75" hidden="1">
      <c r="A83" s="166"/>
      <c r="B83" s="167"/>
      <c r="C83" s="167"/>
      <c r="D83" s="167"/>
      <c r="E83" s="174"/>
      <c r="F83" s="174"/>
      <c r="G83" s="175"/>
      <c r="H83" s="754" t="s">
        <v>35</v>
      </c>
      <c r="I83" s="180">
        <f ca="1">IFERROR(__xludf.DUMMYFUNCTION("IMPORTRANGE(""https://docs.google.com/spreadsheets/d/1QqKyyYR6Q21VydFLVH3TRQUabQu_ym0Zz7PgGX0-kHA/edit?usp=sharing"",""แผน!E73"")"),0)</f>
        <v>0</v>
      </c>
      <c r="J83" s="210">
        <v>0</v>
      </c>
      <c r="K83" s="159">
        <f t="shared" ca="1" si="46"/>
        <v>0</v>
      </c>
      <c r="L83" s="159"/>
      <c r="M83" s="159"/>
      <c r="N83" s="159"/>
      <c r="O83" s="159"/>
      <c r="P83" s="159"/>
    </row>
    <row r="84" spans="1:26" ht="18.75" hidden="1">
      <c r="A84" s="166"/>
      <c r="B84" s="167"/>
      <c r="C84" s="167"/>
      <c r="D84" s="172" t="s">
        <v>43</v>
      </c>
      <c r="E84" s="445"/>
      <c r="F84" s="174"/>
      <c r="G84" s="175"/>
      <c r="H84" s="181" t="s">
        <v>34</v>
      </c>
      <c r="I84" s="180">
        <f ca="1">IFERROR(__xludf.DUMMYFUNCTION("IMPORTRANGE(""https://docs.google.com/spreadsheets/d/1QqKyyYR6Q21VydFLVH3TRQUabQu_ym0Zz7PgGX0-kHA/edit?usp=sharing"",""แผน!J73"")"),0)</f>
        <v>0</v>
      </c>
      <c r="J84" s="210">
        <v>0</v>
      </c>
      <c r="K84" s="159">
        <f t="shared" ca="1" si="46"/>
        <v>0</v>
      </c>
      <c r="L84" s="159"/>
      <c r="M84" s="159"/>
      <c r="N84" s="159"/>
      <c r="O84" s="159"/>
      <c r="P84" s="159"/>
    </row>
    <row r="85" spans="1:26" ht="19.5">
      <c r="A85" s="127" t="s">
        <v>44</v>
      </c>
      <c r="B85" s="128"/>
      <c r="C85" s="129"/>
      <c r="D85" s="128"/>
      <c r="E85" s="128"/>
      <c r="F85" s="128"/>
      <c r="G85" s="130"/>
      <c r="H85" s="131"/>
      <c r="I85" s="132"/>
      <c r="J85" s="132"/>
      <c r="K85" s="133"/>
      <c r="L85" s="133"/>
      <c r="M85" s="133"/>
      <c r="N85" s="133"/>
      <c r="O85" s="133"/>
      <c r="P85" s="133"/>
    </row>
    <row r="86" spans="1:26" ht="19.5">
      <c r="A86" s="134"/>
      <c r="B86" s="204" t="s">
        <v>45</v>
      </c>
      <c r="C86" s="136"/>
      <c r="D86" s="137"/>
      <c r="E86" s="136"/>
      <c r="F86" s="136"/>
      <c r="G86" s="138"/>
      <c r="H86" s="139" t="s">
        <v>46</v>
      </c>
      <c r="I86" s="140">
        <f t="shared" ref="I86:J87" ca="1" si="47">I98</f>
        <v>0</v>
      </c>
      <c r="J86" s="140">
        <f t="shared" si="47"/>
        <v>0</v>
      </c>
      <c r="K86" s="141">
        <f t="shared" ref="K86:K87" ca="1" si="48">IF(I86&gt;0,J86*100/I86,0)</f>
        <v>0</v>
      </c>
      <c r="L86" s="142"/>
      <c r="M86" s="142"/>
      <c r="N86" s="142"/>
      <c r="O86" s="142"/>
      <c r="P86" s="142"/>
    </row>
    <row r="87" spans="1:26" ht="19.5">
      <c r="A87" s="134"/>
      <c r="B87" s="136"/>
      <c r="C87" s="136"/>
      <c r="D87" s="137"/>
      <c r="E87" s="136"/>
      <c r="F87" s="136"/>
      <c r="G87" s="138"/>
      <c r="H87" s="139" t="s">
        <v>35</v>
      </c>
      <c r="I87" s="140">
        <f t="shared" ca="1" si="47"/>
        <v>0</v>
      </c>
      <c r="J87" s="140">
        <f t="shared" si="47"/>
        <v>0</v>
      </c>
      <c r="K87" s="141">
        <f t="shared" ca="1" si="48"/>
        <v>0</v>
      </c>
      <c r="L87" s="142"/>
      <c r="M87" s="142"/>
      <c r="N87" s="142"/>
      <c r="O87" s="142"/>
      <c r="P87" s="142"/>
    </row>
    <row r="88" spans="1:26" ht="19.5">
      <c r="A88" s="143"/>
      <c r="B88" s="144"/>
      <c r="C88" s="145" t="s">
        <v>16</v>
      </c>
      <c r="D88" s="825" t="s">
        <v>17</v>
      </c>
      <c r="E88" s="144"/>
      <c r="F88" s="144"/>
      <c r="G88" s="147"/>
      <c r="H88" s="148" t="s">
        <v>12</v>
      </c>
      <c r="I88" s="418"/>
      <c r="J88" s="418"/>
      <c r="K88" s="150"/>
      <c r="L88" s="151">
        <f t="shared" ref="L88:N88" ca="1" si="49">L89+L90</f>
        <v>174500</v>
      </c>
      <c r="M88" s="151">
        <f t="shared" ca="1" si="49"/>
        <v>99400</v>
      </c>
      <c r="N88" s="151">
        <f t="shared" ca="1" si="49"/>
        <v>47247.5</v>
      </c>
      <c r="O88" s="151">
        <f t="shared" ref="O88:O96" ca="1" si="50">IF(L88&gt;0,N88*100/L88,0)</f>
        <v>27.075931232091691</v>
      </c>
      <c r="P88" s="151">
        <f t="shared" ref="P88:P96" ca="1" si="51">IF(M88&gt;0,N88*100/M88,0)</f>
        <v>47.532696177062377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8.75" hidden="1">
      <c r="A89" s="152"/>
      <c r="B89" s="39"/>
      <c r="C89" s="39"/>
      <c r="D89" s="39"/>
      <c r="E89" s="218" t="s">
        <v>18</v>
      </c>
      <c r="F89" s="39"/>
      <c r="G89" s="153"/>
      <c r="H89" s="154" t="s">
        <v>12</v>
      </c>
      <c r="I89" s="609"/>
      <c r="J89" s="609"/>
      <c r="K89" s="90"/>
      <c r="L89" s="90">
        <f t="shared" ref="L89:N90" si="52">L92+L95</f>
        <v>0</v>
      </c>
      <c r="M89" s="90">
        <f t="shared" si="52"/>
        <v>0</v>
      </c>
      <c r="N89" s="90">
        <f t="shared" si="52"/>
        <v>0</v>
      </c>
      <c r="O89" s="90">
        <f t="shared" si="50"/>
        <v>0</v>
      </c>
      <c r="P89" s="90">
        <f t="shared" si="51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hidden="1">
      <c r="A90" s="152"/>
      <c r="B90" s="39"/>
      <c r="C90" s="39"/>
      <c r="D90" s="39"/>
      <c r="E90" s="218" t="s">
        <v>19</v>
      </c>
      <c r="F90" s="39"/>
      <c r="G90" s="153"/>
      <c r="H90" s="154" t="s">
        <v>12</v>
      </c>
      <c r="I90" s="609"/>
      <c r="J90" s="609"/>
      <c r="K90" s="90"/>
      <c r="L90" s="90">
        <f t="shared" ca="1" si="52"/>
        <v>174500</v>
      </c>
      <c r="M90" s="90">
        <f t="shared" ca="1" si="52"/>
        <v>99400</v>
      </c>
      <c r="N90" s="90">
        <f t="shared" ca="1" si="52"/>
        <v>47247.5</v>
      </c>
      <c r="O90" s="90">
        <f t="shared" ca="1" si="50"/>
        <v>27.075931232091691</v>
      </c>
      <c r="P90" s="90">
        <f t="shared" ca="1" si="51"/>
        <v>47.532696177062377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>
      <c r="A91" s="155"/>
      <c r="B91" s="32"/>
      <c r="C91" s="276"/>
      <c r="D91" s="33" t="s">
        <v>20</v>
      </c>
      <c r="E91" s="32"/>
      <c r="F91" s="32"/>
      <c r="G91" s="34"/>
      <c r="H91" s="157" t="s">
        <v>12</v>
      </c>
      <c r="I91" s="180"/>
      <c r="J91" s="180"/>
      <c r="K91" s="159"/>
      <c r="L91" s="495">
        <f t="shared" ref="L91:N91" ca="1" si="53">L92+L93</f>
        <v>174500</v>
      </c>
      <c r="M91" s="495">
        <f t="shared" ca="1" si="53"/>
        <v>99400</v>
      </c>
      <c r="N91" s="495">
        <f t="shared" ca="1" si="53"/>
        <v>47247.5</v>
      </c>
      <c r="O91" s="495">
        <f t="shared" ca="1" si="50"/>
        <v>27.075931232091691</v>
      </c>
      <c r="P91" s="495">
        <f t="shared" ca="1" si="51"/>
        <v>47.532696177062377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9.5" hidden="1">
      <c r="A92" s="152"/>
      <c r="B92" s="39"/>
      <c r="C92" s="160"/>
      <c r="D92" s="39"/>
      <c r="E92" s="218" t="s">
        <v>36</v>
      </c>
      <c r="F92" s="39"/>
      <c r="G92" s="153"/>
      <c r="H92" s="161" t="s">
        <v>12</v>
      </c>
      <c r="I92" s="162"/>
      <c r="J92" s="162"/>
      <c r="K92" s="163"/>
      <c r="L92" s="90">
        <v>0</v>
      </c>
      <c r="M92" s="90">
        <v>0</v>
      </c>
      <c r="N92" s="90">
        <v>0</v>
      </c>
      <c r="O92" s="90">
        <f t="shared" si="50"/>
        <v>0</v>
      </c>
      <c r="P92" s="90">
        <f t="shared" si="51"/>
        <v>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9.5" hidden="1">
      <c r="A93" s="152"/>
      <c r="B93" s="39"/>
      <c r="C93" s="160"/>
      <c r="D93" s="39"/>
      <c r="E93" s="218" t="s">
        <v>37</v>
      </c>
      <c r="F93" s="39"/>
      <c r="G93" s="153"/>
      <c r="H93" s="161" t="s">
        <v>12</v>
      </c>
      <c r="I93" s="162"/>
      <c r="J93" s="162"/>
      <c r="K93" s="163"/>
      <c r="L93" s="90">
        <f ca="1">IFERROR(__xludf.DUMMYFUNCTION("IMPORTRANGE(""https://docs.google.com/spreadsheets/d/1MeEWN-I1oV_STSDYn1IFDPWt_1FKiwhDph83XaGc0o0/edit?usp=sharing"",""งบพรบ!AQ73"")"),174500)</f>
        <v>174500</v>
      </c>
      <c r="M93" s="90">
        <f ca="1">IFERROR(__xludf.DUMMYFUNCTION("IMPORTRANGE(""https://docs.google.com/spreadsheets/d/1MeEWN-I1oV_STSDYn1IFDPWt_1FKiwhDph83XaGc0o0/edit?usp=sharing"",""งบพรบ!AV73"")"),99400)</f>
        <v>99400</v>
      </c>
      <c r="N93" s="90">
        <f ca="1">IFERROR(__xludf.DUMMYFUNCTION("IMPORTRANGE(""https://docs.google.com/spreadsheets/d/1MeEWN-I1oV_STSDYn1IFDPWt_1FKiwhDph83XaGc0o0/edit?usp=sharing"",""งบพรบ!AX73"")"),47247.5)</f>
        <v>47247.5</v>
      </c>
      <c r="O93" s="90">
        <f t="shared" ca="1" si="50"/>
        <v>27.075931232091691</v>
      </c>
      <c r="P93" s="90">
        <f t="shared" ca="1" si="51"/>
        <v>47.532696177062377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>
      <c r="A94" s="155"/>
      <c r="B94" s="32"/>
      <c r="C94" s="276"/>
      <c r="D94" s="33" t="s">
        <v>21</v>
      </c>
      <c r="E94" s="32"/>
      <c r="F94" s="32"/>
      <c r="G94" s="34"/>
      <c r="H94" s="164" t="s">
        <v>12</v>
      </c>
      <c r="I94" s="180"/>
      <c r="J94" s="180"/>
      <c r="K94" s="159"/>
      <c r="L94" s="495">
        <f t="shared" ref="L94:N94" ca="1" si="54">L95+L96</f>
        <v>0</v>
      </c>
      <c r="M94" s="495">
        <f t="shared" ca="1" si="54"/>
        <v>0</v>
      </c>
      <c r="N94" s="495">
        <f t="shared" ca="1" si="54"/>
        <v>0</v>
      </c>
      <c r="O94" s="495">
        <f t="shared" ca="1" si="50"/>
        <v>0</v>
      </c>
      <c r="P94" s="495">
        <f t="shared" ca="1" si="51"/>
        <v>0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9.5" hidden="1">
      <c r="A95" s="152"/>
      <c r="B95" s="39"/>
      <c r="C95" s="160"/>
      <c r="D95" s="39"/>
      <c r="E95" s="218" t="s">
        <v>18</v>
      </c>
      <c r="F95" s="39"/>
      <c r="G95" s="153"/>
      <c r="H95" s="161" t="s">
        <v>12</v>
      </c>
      <c r="I95" s="162"/>
      <c r="J95" s="162"/>
      <c r="K95" s="163"/>
      <c r="L95" s="90">
        <v>0</v>
      </c>
      <c r="M95" s="90">
        <v>0</v>
      </c>
      <c r="N95" s="90">
        <v>0</v>
      </c>
      <c r="O95" s="90">
        <f t="shared" si="50"/>
        <v>0</v>
      </c>
      <c r="P95" s="90">
        <f t="shared" si="51"/>
        <v>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9.5" hidden="1">
      <c r="A96" s="152"/>
      <c r="B96" s="39"/>
      <c r="C96" s="160"/>
      <c r="D96" s="39"/>
      <c r="E96" s="218" t="s">
        <v>19</v>
      </c>
      <c r="F96" s="39"/>
      <c r="G96" s="153"/>
      <c r="H96" s="165" t="s">
        <v>12</v>
      </c>
      <c r="I96" s="162"/>
      <c r="J96" s="162"/>
      <c r="K96" s="163"/>
      <c r="L96" s="90">
        <f ca="1">IFERROR(__xludf.DUMMYFUNCTION("IMPORTRANGE(""https://docs.google.com/spreadsheets/d/1MeEWN-I1oV_STSDYn1IFDPWt_1FKiwhDph83XaGc0o0/edit?usp=sharing"",""งบพรบ!AT73"")"),0)</f>
        <v>0</v>
      </c>
      <c r="M96" s="90">
        <f ca="1">IFERROR(__xludf.DUMMYFUNCTION("IMPORTRANGE(""https://docs.google.com/spreadsheets/d/1MeEWN-I1oV_STSDYn1IFDPWt_1FKiwhDph83XaGc0o0/edit?usp=sharing"",""งบพรบ!AW73"")"),0)</f>
        <v>0</v>
      </c>
      <c r="N96" s="90">
        <f ca="1">IFERROR(__xludf.DUMMYFUNCTION("IMPORTRANGE(""https://docs.google.com/spreadsheets/d/1MeEWN-I1oV_STSDYn1IFDPWt_1FKiwhDph83XaGc0o0/edit?usp=sharing"",""งบพรบ!AY73"")"),0)</f>
        <v>0</v>
      </c>
      <c r="O96" s="90">
        <f t="shared" ca="1" si="50"/>
        <v>0</v>
      </c>
      <c r="P96" s="90">
        <f t="shared" ca="1" si="51"/>
        <v>0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16" ht="19.5">
      <c r="A97" s="166"/>
      <c r="B97" s="167"/>
      <c r="C97" s="160" t="s">
        <v>16</v>
      </c>
      <c r="D97" s="826" t="s">
        <v>38</v>
      </c>
      <c r="E97" s="169"/>
      <c r="F97" s="169"/>
      <c r="G97" s="170"/>
      <c r="H97" s="752"/>
      <c r="I97" s="180"/>
      <c r="J97" s="264"/>
      <c r="K97" s="495"/>
      <c r="L97" s="495"/>
      <c r="M97" s="495"/>
      <c r="N97" s="495"/>
      <c r="O97" s="159"/>
      <c r="P97" s="159"/>
    </row>
    <row r="98" spans="1:16" ht="18.75">
      <c r="A98" s="166"/>
      <c r="B98" s="167"/>
      <c r="C98" s="167"/>
      <c r="D98" s="445" t="s">
        <v>47</v>
      </c>
      <c r="E98" s="445"/>
      <c r="F98" s="174"/>
      <c r="G98" s="175"/>
      <c r="H98" s="615" t="s">
        <v>46</v>
      </c>
      <c r="I98" s="264">
        <f ca="1">IFERROR(__xludf.DUMMYFUNCTION("IMPORTRANGE(""https://docs.google.com/spreadsheets/d/1QqKyyYR6Q21VydFLVH3TRQUabQu_ym0Zz7PgGX0-kHA/edit?usp=sharing"",""แผน!K73"")"),0)</f>
        <v>0</v>
      </c>
      <c r="J98" s="264">
        <f>J102</f>
        <v>0</v>
      </c>
      <c r="K98" s="495">
        <f t="shared" ref="K98:K100" ca="1" si="55">IF(I98&gt;0,J98*100/I98,0)</f>
        <v>0</v>
      </c>
      <c r="L98" s="495"/>
      <c r="M98" s="495"/>
      <c r="N98" s="495"/>
      <c r="O98" s="159"/>
      <c r="P98" s="159"/>
    </row>
    <row r="99" spans="1:16" ht="18.75">
      <c r="A99" s="166"/>
      <c r="B99" s="167"/>
      <c r="C99" s="167"/>
      <c r="D99" s="445" t="s">
        <v>48</v>
      </c>
      <c r="E99" s="445"/>
      <c r="F99" s="174"/>
      <c r="G99" s="175"/>
      <c r="H99" s="615" t="s">
        <v>35</v>
      </c>
      <c r="I99" s="264">
        <f ca="1">IFERROR(__xludf.DUMMYFUNCTION("IMPORTRANGE(""https://docs.google.com/spreadsheets/d/1QqKyyYR6Q21VydFLVH3TRQUabQu_ym0Zz7PgGX0-kHA/edit?usp=sharing"",""แผน!L73"")"),0)</f>
        <v>0</v>
      </c>
      <c r="J99" s="264">
        <f>J104</f>
        <v>0</v>
      </c>
      <c r="K99" s="495">
        <f t="shared" ca="1" si="55"/>
        <v>0</v>
      </c>
      <c r="L99" s="495"/>
      <c r="M99" s="495"/>
      <c r="N99" s="495"/>
      <c r="O99" s="159"/>
      <c r="P99" s="159"/>
    </row>
    <row r="100" spans="1:16" ht="18.75">
      <c r="A100" s="166"/>
      <c r="B100" s="167"/>
      <c r="C100" s="167"/>
      <c r="D100" s="167"/>
      <c r="E100" s="174"/>
      <c r="F100" s="174"/>
      <c r="G100" s="175"/>
      <c r="H100" s="615" t="s">
        <v>49</v>
      </c>
      <c r="I100" s="264">
        <f ca="1">IFERROR(__xludf.DUMMYFUNCTION("IMPORTRANGE(""https://docs.google.com/spreadsheets/d/1QqKyyYR6Q21VydFLVH3TRQUabQu_ym0Zz7PgGX0-kHA/edit?usp=sharing"",""แผน!M73"")"),1)</f>
        <v>1</v>
      </c>
      <c r="J100" s="264">
        <f>J107+J110</f>
        <v>0</v>
      </c>
      <c r="K100" s="495">
        <f t="shared" ca="1" si="55"/>
        <v>0</v>
      </c>
      <c r="L100" s="495"/>
      <c r="M100" s="495"/>
      <c r="N100" s="495"/>
      <c r="O100" s="159"/>
      <c r="P100" s="159"/>
    </row>
    <row r="101" spans="1:16" ht="19.5">
      <c r="A101" s="166"/>
      <c r="B101" s="167"/>
      <c r="C101" s="167"/>
      <c r="D101" s="174"/>
      <c r="E101" s="187" t="s">
        <v>50</v>
      </c>
      <c r="F101" s="174"/>
      <c r="G101" s="175"/>
      <c r="H101" s="615"/>
      <c r="I101" s="264"/>
      <c r="J101" s="264"/>
      <c r="K101" s="495"/>
      <c r="L101" s="495"/>
      <c r="M101" s="495"/>
      <c r="N101" s="495"/>
      <c r="O101" s="159"/>
      <c r="P101" s="159"/>
    </row>
    <row r="102" spans="1:16" ht="18.75">
      <c r="A102" s="166"/>
      <c r="B102" s="167"/>
      <c r="C102" s="167"/>
      <c r="D102" s="174"/>
      <c r="E102" s="618" t="s">
        <v>47</v>
      </c>
      <c r="F102" s="174"/>
      <c r="G102" s="175"/>
      <c r="H102" s="615" t="s">
        <v>46</v>
      </c>
      <c r="I102" s="264">
        <f ca="1">IFERROR(__xludf.DUMMYFUNCTION("IMPORTRANGE(""https://docs.google.com/spreadsheets/d/1QqKyyYR6Q21VydFLVH3TRQUabQu_ym0Zz7PgGX0-kHA/edit?usp=sharing"",""แผน!N73"")"),0)</f>
        <v>0</v>
      </c>
      <c r="J102" s="210">
        <v>0</v>
      </c>
      <c r="K102" s="495">
        <f t="shared" ref="K102:K104" ca="1" si="56">IF(I102&gt;0,J102*100/I102,0)</f>
        <v>0</v>
      </c>
      <c r="L102" s="495"/>
      <c r="M102" s="495"/>
      <c r="N102" s="495"/>
      <c r="O102" s="159"/>
      <c r="P102" s="159"/>
    </row>
    <row r="103" spans="1:16" ht="19.5">
      <c r="A103" s="166"/>
      <c r="B103" s="167"/>
      <c r="C103" s="167"/>
      <c r="D103" s="174"/>
      <c r="E103" s="445" t="s">
        <v>51</v>
      </c>
      <c r="F103" s="174"/>
      <c r="G103" s="175"/>
      <c r="H103" s="615" t="s">
        <v>35</v>
      </c>
      <c r="I103" s="264">
        <f ca="1">IFERROR(__xludf.DUMMYFUNCTION("IMPORTRANGE(""https://docs.google.com/spreadsheets/d/1QqKyyYR6Q21VydFLVH3TRQUabQu_ym0Zz7PgGX0-kHA/edit?usp=sharing"",""แผน!O73"")"),0)</f>
        <v>0</v>
      </c>
      <c r="J103" s="210">
        <v>0</v>
      </c>
      <c r="K103" s="495">
        <f t="shared" ca="1" si="56"/>
        <v>0</v>
      </c>
      <c r="L103" s="495"/>
      <c r="M103" s="495"/>
      <c r="N103" s="495"/>
      <c r="O103" s="159"/>
      <c r="P103" s="159"/>
    </row>
    <row r="104" spans="1:16" ht="18.75">
      <c r="A104" s="166"/>
      <c r="B104" s="167"/>
      <c r="C104" s="167"/>
      <c r="D104" s="174"/>
      <c r="E104" s="184" t="s">
        <v>52</v>
      </c>
      <c r="F104" s="174"/>
      <c r="G104" s="175"/>
      <c r="H104" s="615" t="s">
        <v>35</v>
      </c>
      <c r="I104" s="264">
        <f ca="1">IFERROR(__xludf.DUMMYFUNCTION("IMPORTRANGE(""https://docs.google.com/spreadsheets/d/1QqKyyYR6Q21VydFLVH3TRQUabQu_ym0Zz7PgGX0-kHA/edit?usp=sharing"",""แผน!O73"")"),0)</f>
        <v>0</v>
      </c>
      <c r="J104" s="210">
        <v>0</v>
      </c>
      <c r="K104" s="495">
        <f t="shared" ca="1" si="56"/>
        <v>0</v>
      </c>
      <c r="L104" s="495"/>
      <c r="M104" s="495"/>
      <c r="N104" s="495"/>
      <c r="O104" s="159"/>
      <c r="P104" s="159"/>
    </row>
    <row r="105" spans="1:16" ht="19.5">
      <c r="A105" s="166"/>
      <c r="B105" s="167"/>
      <c r="C105" s="167"/>
      <c r="D105" s="174"/>
      <c r="E105" s="187" t="s">
        <v>53</v>
      </c>
      <c r="F105" s="174"/>
      <c r="G105" s="175"/>
      <c r="H105" s="185"/>
      <c r="I105" s="264"/>
      <c r="J105" s="264"/>
      <c r="K105" s="495"/>
      <c r="L105" s="495"/>
      <c r="M105" s="495"/>
      <c r="N105" s="495"/>
      <c r="O105" s="159"/>
      <c r="P105" s="159"/>
    </row>
    <row r="106" spans="1:16" ht="19.5">
      <c r="A106" s="166"/>
      <c r="B106" s="167"/>
      <c r="C106" s="167"/>
      <c r="D106" s="174"/>
      <c r="E106" s="445" t="s">
        <v>54</v>
      </c>
      <c r="F106" s="174"/>
      <c r="G106" s="175"/>
      <c r="H106" s="615" t="s">
        <v>49</v>
      </c>
      <c r="I106" s="264">
        <f ca="1">IFERROR(__xludf.DUMMYFUNCTION("IMPORTRANGE(""https://docs.google.com/spreadsheets/d/1QqKyyYR6Q21VydFLVH3TRQUabQu_ym0Zz7PgGX0-kHA/edit?usp=sharing"",""แผน!P73"")"),0)</f>
        <v>0</v>
      </c>
      <c r="J106" s="210">
        <v>0</v>
      </c>
      <c r="K106" s="495">
        <f t="shared" ref="K106:K107" ca="1" si="57">IF(I106&gt;0,J106*100/I106,0)</f>
        <v>0</v>
      </c>
      <c r="L106" s="495"/>
      <c r="M106" s="495"/>
      <c r="N106" s="495"/>
      <c r="O106" s="159"/>
      <c r="P106" s="159"/>
    </row>
    <row r="107" spans="1:16" ht="18.75">
      <c r="A107" s="166"/>
      <c r="B107" s="167"/>
      <c r="C107" s="167"/>
      <c r="D107" s="174"/>
      <c r="E107" s="184" t="s">
        <v>55</v>
      </c>
      <c r="F107" s="174"/>
      <c r="G107" s="175"/>
      <c r="H107" s="615" t="s">
        <v>49</v>
      </c>
      <c r="I107" s="264">
        <f ca="1">IFERROR(__xludf.DUMMYFUNCTION("IMPORTRANGE(""https://docs.google.com/spreadsheets/d/1QqKyyYR6Q21VydFLVH3TRQUabQu_ym0Zz7PgGX0-kHA/edit?usp=sharing"",""แผน!P73"")"),0)</f>
        <v>0</v>
      </c>
      <c r="J107" s="210">
        <v>0</v>
      </c>
      <c r="K107" s="495">
        <f t="shared" ca="1" si="57"/>
        <v>0</v>
      </c>
      <c r="L107" s="495"/>
      <c r="M107" s="495"/>
      <c r="N107" s="495"/>
      <c r="O107" s="159"/>
      <c r="P107" s="159"/>
    </row>
    <row r="108" spans="1:16" ht="19.5">
      <c r="A108" s="166"/>
      <c r="B108" s="167"/>
      <c r="C108" s="167"/>
      <c r="D108" s="174"/>
      <c r="E108" s="187" t="s">
        <v>56</v>
      </c>
      <c r="F108" s="174"/>
      <c r="G108" s="175"/>
      <c r="H108" s="185"/>
      <c r="I108" s="264"/>
      <c r="J108" s="264"/>
      <c r="K108" s="495"/>
      <c r="L108" s="495"/>
      <c r="M108" s="495"/>
      <c r="N108" s="495"/>
      <c r="O108" s="159"/>
      <c r="P108" s="159"/>
    </row>
    <row r="109" spans="1:16" ht="19.5">
      <c r="A109" s="166"/>
      <c r="B109" s="167"/>
      <c r="C109" s="167"/>
      <c r="D109" s="174"/>
      <c r="E109" s="445" t="s">
        <v>57</v>
      </c>
      <c r="F109" s="174"/>
      <c r="G109" s="175"/>
      <c r="H109" s="615" t="s">
        <v>49</v>
      </c>
      <c r="I109" s="264">
        <f ca="1">IFERROR(__xludf.DUMMYFUNCTION("IMPORTRANGE(""https://docs.google.com/spreadsheets/d/1QqKyyYR6Q21VydFLVH3TRQUabQu_ym0Zz7PgGX0-kHA/edit?usp=sharing"",""แผน!Q73"")"),1)</f>
        <v>1</v>
      </c>
      <c r="J109" s="210">
        <v>0</v>
      </c>
      <c r="K109" s="495">
        <f t="shared" ref="K109:K116" ca="1" si="58">IF(I109&gt;0,J109*100/I109,0)</f>
        <v>0</v>
      </c>
      <c r="L109" s="495"/>
      <c r="M109" s="495"/>
      <c r="N109" s="495"/>
      <c r="O109" s="159"/>
      <c r="P109" s="159"/>
    </row>
    <row r="110" spans="1:16" ht="18.75">
      <c r="A110" s="166"/>
      <c r="B110" s="167"/>
      <c r="C110" s="167"/>
      <c r="D110" s="174"/>
      <c r="E110" s="186" t="s">
        <v>58</v>
      </c>
      <c r="F110" s="174"/>
      <c r="G110" s="175"/>
      <c r="H110" s="615" t="s">
        <v>49</v>
      </c>
      <c r="I110" s="264">
        <f ca="1">IFERROR(__xludf.DUMMYFUNCTION("IMPORTRANGE(""https://docs.google.com/spreadsheets/d/1QqKyyYR6Q21VydFLVH3TRQUabQu_ym0Zz7PgGX0-kHA/edit?usp=sharing"",""แผน!Q73"")"),1)</f>
        <v>1</v>
      </c>
      <c r="J110" s="210">
        <v>0</v>
      </c>
      <c r="K110" s="495">
        <f t="shared" ca="1" si="58"/>
        <v>0</v>
      </c>
      <c r="L110" s="495"/>
      <c r="M110" s="495"/>
      <c r="N110" s="495"/>
      <c r="O110" s="159"/>
      <c r="P110" s="159"/>
    </row>
    <row r="111" spans="1:16" ht="19.5">
      <c r="A111" s="166"/>
      <c r="B111" s="167"/>
      <c r="C111" s="167"/>
      <c r="D111" s="187" t="s">
        <v>59</v>
      </c>
      <c r="E111" s="187"/>
      <c r="F111" s="174"/>
      <c r="G111" s="175"/>
      <c r="H111" s="757" t="s">
        <v>35</v>
      </c>
      <c r="I111" s="189">
        <f ca="1">IFERROR(__xludf.DUMMYFUNCTION("IMPORTRANGE(""https://docs.google.com/spreadsheets/d/1QqKyyYR6Q21VydFLVH3TRQUabQu_ym0Zz7PgGX0-kHA/edit?usp=sharing"",""แผน!R73"")"),0)</f>
        <v>0</v>
      </c>
      <c r="J111" s="673">
        <f>J114</f>
        <v>0</v>
      </c>
      <c r="K111" s="191">
        <f t="shared" ca="1" si="58"/>
        <v>0</v>
      </c>
      <c r="L111" s="495"/>
      <c r="M111" s="495"/>
      <c r="N111" s="495"/>
      <c r="O111" s="159"/>
      <c r="P111" s="159"/>
    </row>
    <row r="112" spans="1:16" ht="19.5">
      <c r="A112" s="166"/>
      <c r="B112" s="167"/>
      <c r="C112" s="167"/>
      <c r="D112" s="167"/>
      <c r="E112" s="174"/>
      <c r="F112" s="174"/>
      <c r="G112" s="175"/>
      <c r="H112" s="192" t="s">
        <v>49</v>
      </c>
      <c r="I112" s="189">
        <f t="shared" ref="I112:J112" ca="1" si="59">I115+I116</f>
        <v>1</v>
      </c>
      <c r="J112" s="673">
        <f t="shared" si="59"/>
        <v>0</v>
      </c>
      <c r="K112" s="191">
        <f t="shared" ca="1" si="58"/>
        <v>0</v>
      </c>
      <c r="L112" s="495"/>
      <c r="M112" s="495"/>
      <c r="N112" s="495"/>
      <c r="O112" s="159"/>
      <c r="P112" s="159"/>
    </row>
    <row r="113" spans="1:26" ht="19.5">
      <c r="A113" s="166"/>
      <c r="B113" s="167"/>
      <c r="C113" s="167"/>
      <c r="D113" s="167"/>
      <c r="E113" s="524" t="s">
        <v>60</v>
      </c>
      <c r="F113" s="174"/>
      <c r="G113" s="175"/>
      <c r="H113" s="194" t="s">
        <v>35</v>
      </c>
      <c r="I113" s="180">
        <f ca="1">IFERROR(__xludf.DUMMYFUNCTION("IMPORTRANGE(""https://docs.google.com/spreadsheets/d/1QqKyyYR6Q21VydFLVH3TRQUabQu_ym0Zz7PgGX0-kHA/edit?usp=sharing"",""แผน!R73"")"),0)</f>
        <v>0</v>
      </c>
      <c r="J113" s="210">
        <v>0</v>
      </c>
      <c r="K113" s="495">
        <f t="shared" ca="1" si="58"/>
        <v>0</v>
      </c>
      <c r="L113" s="495"/>
      <c r="M113" s="495"/>
      <c r="N113" s="495"/>
      <c r="O113" s="159"/>
      <c r="P113" s="159"/>
    </row>
    <row r="114" spans="1:26" ht="19.5">
      <c r="A114" s="166"/>
      <c r="B114" s="167"/>
      <c r="C114" s="167"/>
      <c r="D114" s="167"/>
      <c r="E114" s="445" t="s">
        <v>61</v>
      </c>
      <c r="F114" s="174"/>
      <c r="G114" s="175"/>
      <c r="H114" s="195" t="s">
        <v>35</v>
      </c>
      <c r="I114" s="180">
        <f ca="1">IFERROR(__xludf.DUMMYFUNCTION("IMPORTRANGE(""https://docs.google.com/spreadsheets/d/1QqKyyYR6Q21VydFLVH3TRQUabQu_ym0Zz7PgGX0-kHA/edit?usp=sharing"",""แผน!R73"")"),0)</f>
        <v>0</v>
      </c>
      <c r="J114" s="210">
        <v>0</v>
      </c>
      <c r="K114" s="495">
        <f t="shared" ca="1" si="58"/>
        <v>0</v>
      </c>
      <c r="L114" s="495"/>
      <c r="M114" s="495"/>
      <c r="N114" s="495"/>
      <c r="O114" s="159"/>
      <c r="P114" s="159"/>
    </row>
    <row r="115" spans="1:26" ht="18.75">
      <c r="A115" s="166"/>
      <c r="B115" s="167"/>
      <c r="C115" s="167"/>
      <c r="D115" s="167"/>
      <c r="E115" s="445" t="s">
        <v>62</v>
      </c>
      <c r="F115" s="174"/>
      <c r="G115" s="175"/>
      <c r="H115" s="195" t="s">
        <v>49</v>
      </c>
      <c r="I115" s="180">
        <f ca="1">IFERROR(__xludf.DUMMYFUNCTION("IMPORTRANGE(""https://docs.google.com/spreadsheets/d/1QqKyyYR6Q21VydFLVH3TRQUabQu_ym0Zz7PgGX0-kHA/edit?usp=sharing"",""แผน!S73"")"),0)</f>
        <v>0</v>
      </c>
      <c r="J115" s="210">
        <v>0</v>
      </c>
      <c r="K115" s="495">
        <f t="shared" ca="1" si="58"/>
        <v>0</v>
      </c>
      <c r="L115" s="495"/>
      <c r="M115" s="495"/>
      <c r="N115" s="495"/>
      <c r="O115" s="159"/>
      <c r="P115" s="159"/>
    </row>
    <row r="116" spans="1:26" ht="18.75">
      <c r="A116" s="166"/>
      <c r="B116" s="167"/>
      <c r="C116" s="167"/>
      <c r="D116" s="167"/>
      <c r="E116" s="445" t="s">
        <v>63</v>
      </c>
      <c r="F116" s="174"/>
      <c r="G116" s="175"/>
      <c r="H116" s="195" t="s">
        <v>49</v>
      </c>
      <c r="I116" s="180">
        <f ca="1">IFERROR(__xludf.DUMMYFUNCTION("IMPORTRANGE(""https://docs.google.com/spreadsheets/d/1QqKyyYR6Q21VydFLVH3TRQUabQu_ym0Zz7PgGX0-kHA/edit?usp=sharing"",""แผน!T73"")"),1)</f>
        <v>1</v>
      </c>
      <c r="J116" s="210">
        <v>0</v>
      </c>
      <c r="K116" s="495">
        <f t="shared" ca="1" si="58"/>
        <v>0</v>
      </c>
      <c r="L116" s="495"/>
      <c r="M116" s="495"/>
      <c r="N116" s="495"/>
      <c r="O116" s="159"/>
      <c r="P116" s="159"/>
    </row>
    <row r="117" spans="1:26" ht="19.5" hidden="1">
      <c r="A117" s="127" t="s">
        <v>64</v>
      </c>
      <c r="B117" s="128"/>
      <c r="C117" s="196"/>
      <c r="D117" s="128"/>
      <c r="E117" s="128"/>
      <c r="F117" s="128"/>
      <c r="G117" s="128"/>
      <c r="H117" s="197"/>
      <c r="I117" s="198"/>
      <c r="J117" s="198"/>
      <c r="K117" s="199"/>
      <c r="L117" s="133"/>
      <c r="M117" s="133"/>
      <c r="N117" s="133"/>
      <c r="O117" s="133"/>
      <c r="P117" s="133"/>
    </row>
    <row r="118" spans="1:26" ht="19.5" hidden="1">
      <c r="A118" s="134"/>
      <c r="B118" s="204" t="s">
        <v>65</v>
      </c>
      <c r="C118" s="200"/>
      <c r="D118" s="137"/>
      <c r="E118" s="136"/>
      <c r="F118" s="136"/>
      <c r="G118" s="138"/>
      <c r="H118" s="139"/>
      <c r="I118" s="201"/>
      <c r="J118" s="201"/>
      <c r="K118" s="142"/>
      <c r="L118" s="142"/>
      <c r="M118" s="142"/>
      <c r="N118" s="142"/>
      <c r="O118" s="142"/>
      <c r="P118" s="142"/>
    </row>
    <row r="119" spans="1:26" ht="19.5" hidden="1">
      <c r="A119" s="143"/>
      <c r="B119" s="144"/>
      <c r="C119" s="145" t="s">
        <v>16</v>
      </c>
      <c r="D119" s="825" t="s">
        <v>17</v>
      </c>
      <c r="E119" s="144"/>
      <c r="F119" s="144"/>
      <c r="G119" s="147"/>
      <c r="H119" s="148" t="s">
        <v>12</v>
      </c>
      <c r="I119" s="418"/>
      <c r="J119" s="418"/>
      <c r="K119" s="150"/>
      <c r="L119" s="151">
        <f t="shared" ref="L119:N119" ca="1" si="60">L120+L121</f>
        <v>0</v>
      </c>
      <c r="M119" s="151">
        <f t="shared" ca="1" si="60"/>
        <v>0</v>
      </c>
      <c r="N119" s="151">
        <f t="shared" ca="1" si="60"/>
        <v>0</v>
      </c>
      <c r="O119" s="151">
        <f t="shared" ref="O119:O127" ca="1" si="61">IF(L119&gt;0,N119*100/L119,0)</f>
        <v>0</v>
      </c>
      <c r="P119" s="151">
        <f t="shared" ref="P119:P127" ca="1" si="62">IF(M119&gt;0,N119*100/M119,0)</f>
        <v>0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hidden="1">
      <c r="A120" s="152"/>
      <c r="B120" s="39"/>
      <c r="C120" s="39"/>
      <c r="D120" s="39"/>
      <c r="E120" s="218" t="s">
        <v>18</v>
      </c>
      <c r="F120" s="39"/>
      <c r="G120" s="153"/>
      <c r="H120" s="154" t="s">
        <v>12</v>
      </c>
      <c r="I120" s="609"/>
      <c r="J120" s="609"/>
      <c r="K120" s="90"/>
      <c r="L120" s="90">
        <f t="shared" ref="L120:N121" si="63">L123+L126</f>
        <v>0</v>
      </c>
      <c r="M120" s="90">
        <f t="shared" si="63"/>
        <v>0</v>
      </c>
      <c r="N120" s="90">
        <f t="shared" si="63"/>
        <v>0</v>
      </c>
      <c r="O120" s="90">
        <f t="shared" si="61"/>
        <v>0</v>
      </c>
      <c r="P120" s="90">
        <f t="shared" si="62"/>
        <v>0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hidden="1">
      <c r="A121" s="152"/>
      <c r="B121" s="39"/>
      <c r="C121" s="39"/>
      <c r="D121" s="39"/>
      <c r="E121" s="218" t="s">
        <v>19</v>
      </c>
      <c r="F121" s="39"/>
      <c r="G121" s="153"/>
      <c r="H121" s="154" t="s">
        <v>12</v>
      </c>
      <c r="I121" s="609"/>
      <c r="J121" s="609"/>
      <c r="K121" s="90"/>
      <c r="L121" s="90">
        <f t="shared" ca="1" si="63"/>
        <v>0</v>
      </c>
      <c r="M121" s="90">
        <f t="shared" ca="1" si="63"/>
        <v>0</v>
      </c>
      <c r="N121" s="90">
        <f t="shared" ca="1" si="63"/>
        <v>0</v>
      </c>
      <c r="O121" s="90">
        <f t="shared" ca="1" si="61"/>
        <v>0</v>
      </c>
      <c r="P121" s="90">
        <f t="shared" ca="1" si="62"/>
        <v>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hidden="1">
      <c r="A122" s="155"/>
      <c r="B122" s="32"/>
      <c r="C122" s="276"/>
      <c r="D122" s="33" t="s">
        <v>20</v>
      </c>
      <c r="E122" s="32"/>
      <c r="F122" s="32"/>
      <c r="G122" s="34"/>
      <c r="H122" s="157" t="s">
        <v>12</v>
      </c>
      <c r="I122" s="180"/>
      <c r="J122" s="180"/>
      <c r="K122" s="159"/>
      <c r="L122" s="495">
        <f t="shared" ref="L122:N122" ca="1" si="64">L123+L124</f>
        <v>0</v>
      </c>
      <c r="M122" s="495">
        <f t="shared" ca="1" si="64"/>
        <v>0</v>
      </c>
      <c r="N122" s="495">
        <f t="shared" ca="1" si="64"/>
        <v>0</v>
      </c>
      <c r="O122" s="495">
        <f t="shared" ca="1" si="61"/>
        <v>0</v>
      </c>
      <c r="P122" s="495">
        <f t="shared" ca="1" si="62"/>
        <v>0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8.75" hidden="1">
      <c r="A123" s="152"/>
      <c r="B123" s="39"/>
      <c r="C123" s="218"/>
      <c r="D123" s="39"/>
      <c r="E123" s="218" t="s">
        <v>36</v>
      </c>
      <c r="F123" s="39"/>
      <c r="G123" s="153"/>
      <c r="H123" s="161" t="s">
        <v>12</v>
      </c>
      <c r="I123" s="162"/>
      <c r="J123" s="162"/>
      <c r="K123" s="163"/>
      <c r="L123" s="90">
        <v>0</v>
      </c>
      <c r="M123" s="90">
        <v>0</v>
      </c>
      <c r="N123" s="90">
        <v>0</v>
      </c>
      <c r="O123" s="90">
        <f t="shared" si="61"/>
        <v>0</v>
      </c>
      <c r="P123" s="90">
        <f t="shared" si="62"/>
        <v>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hidden="1">
      <c r="A124" s="152"/>
      <c r="B124" s="39"/>
      <c r="C124" s="218"/>
      <c r="D124" s="39"/>
      <c r="E124" s="218" t="s">
        <v>37</v>
      </c>
      <c r="F124" s="39"/>
      <c r="G124" s="153"/>
      <c r="H124" s="161" t="s">
        <v>12</v>
      </c>
      <c r="I124" s="162"/>
      <c r="J124" s="162"/>
      <c r="K124" s="163"/>
      <c r="L124" s="90">
        <f ca="1">IFERROR(__xludf.DUMMYFUNCTION("IMPORTRANGE(""https://docs.google.com/spreadsheets/d/1MeEWN-I1oV_STSDYn1IFDPWt_1FKiwhDph83XaGc0o0/edit?usp=sharing"",""งบพรบ!BA73"")"),0)</f>
        <v>0</v>
      </c>
      <c r="M124" s="90">
        <f ca="1">IFERROR(__xludf.DUMMYFUNCTION("IMPORTRANGE(""https://docs.google.com/spreadsheets/d/1MeEWN-I1oV_STSDYn1IFDPWt_1FKiwhDph83XaGc0o0/edit?usp=sharing"",""งบพรบ!BF73"")"),0)</f>
        <v>0</v>
      </c>
      <c r="N124" s="90">
        <f ca="1">IFERROR(__xludf.DUMMYFUNCTION("IMPORTRANGE(""https://docs.google.com/spreadsheets/d/1MeEWN-I1oV_STSDYn1IFDPWt_1FKiwhDph83XaGc0o0/edit?usp=sharing"",""งบพรบ!BH73"")"),0)</f>
        <v>0</v>
      </c>
      <c r="O124" s="90">
        <f t="shared" ca="1" si="61"/>
        <v>0</v>
      </c>
      <c r="P124" s="90">
        <f t="shared" ca="1" si="62"/>
        <v>0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hidden="1">
      <c r="A125" s="155"/>
      <c r="B125" s="32"/>
      <c r="C125" s="276"/>
      <c r="D125" s="33" t="s">
        <v>21</v>
      </c>
      <c r="E125" s="32"/>
      <c r="F125" s="32"/>
      <c r="G125" s="34"/>
      <c r="H125" s="164" t="s">
        <v>12</v>
      </c>
      <c r="I125" s="180"/>
      <c r="J125" s="180"/>
      <c r="K125" s="159"/>
      <c r="L125" s="495">
        <f t="shared" ref="L125:N125" ca="1" si="65">L126+L127</f>
        <v>0</v>
      </c>
      <c r="M125" s="495">
        <f t="shared" ca="1" si="65"/>
        <v>0</v>
      </c>
      <c r="N125" s="495">
        <f t="shared" ca="1" si="65"/>
        <v>0</v>
      </c>
      <c r="O125" s="495">
        <f t="shared" ca="1" si="61"/>
        <v>0</v>
      </c>
      <c r="P125" s="495">
        <f t="shared" ca="1" si="62"/>
        <v>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9.5" hidden="1">
      <c r="A126" s="152"/>
      <c r="B126" s="39"/>
      <c r="C126" s="160"/>
      <c r="D126" s="39"/>
      <c r="E126" s="218" t="s">
        <v>18</v>
      </c>
      <c r="F126" s="39"/>
      <c r="G126" s="153"/>
      <c r="H126" s="161" t="s">
        <v>12</v>
      </c>
      <c r="I126" s="162"/>
      <c r="J126" s="162"/>
      <c r="K126" s="163"/>
      <c r="L126" s="90">
        <v>0</v>
      </c>
      <c r="M126" s="90">
        <v>0</v>
      </c>
      <c r="N126" s="90">
        <v>0</v>
      </c>
      <c r="O126" s="90">
        <f t="shared" si="61"/>
        <v>0</v>
      </c>
      <c r="P126" s="90">
        <f t="shared" si="62"/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9.5" hidden="1">
      <c r="A127" s="152"/>
      <c r="B127" s="39"/>
      <c r="C127" s="160"/>
      <c r="D127" s="39"/>
      <c r="E127" s="218" t="s">
        <v>19</v>
      </c>
      <c r="F127" s="39"/>
      <c r="G127" s="153"/>
      <c r="H127" s="165" t="s">
        <v>12</v>
      </c>
      <c r="I127" s="162"/>
      <c r="J127" s="162"/>
      <c r="K127" s="163"/>
      <c r="L127" s="90">
        <f ca="1">IFERROR(__xludf.DUMMYFUNCTION("IMPORTRANGE(""https://docs.google.com/spreadsheets/d/1MeEWN-I1oV_STSDYn1IFDPWt_1FKiwhDph83XaGc0o0/edit?usp=sharing"",""งบพรบ!BD73"")"),0)</f>
        <v>0</v>
      </c>
      <c r="M127" s="90">
        <f ca="1">IFERROR(__xludf.DUMMYFUNCTION("IMPORTRANGE(""https://docs.google.com/spreadsheets/d/1MeEWN-I1oV_STSDYn1IFDPWt_1FKiwhDph83XaGc0o0/edit?usp=sharing"",""งบพรบ!BG73"")"),0)</f>
        <v>0</v>
      </c>
      <c r="N127" s="90">
        <f ca="1">IFERROR(__xludf.DUMMYFUNCTION("IMPORTRANGE(""https://docs.google.com/spreadsheets/d/1MeEWN-I1oV_STSDYn1IFDPWt_1FKiwhDph83XaGc0o0/edit?usp=sharing"",""งบพรบ!BI73"")"),0)</f>
        <v>0</v>
      </c>
      <c r="O127" s="90">
        <f t="shared" ca="1" si="61"/>
        <v>0</v>
      </c>
      <c r="P127" s="90">
        <f t="shared" ca="1" si="62"/>
        <v>0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9.5" hidden="1">
      <c r="A128" s="127" t="s">
        <v>66</v>
      </c>
      <c r="B128" s="128"/>
      <c r="C128" s="196"/>
      <c r="D128" s="128"/>
      <c r="E128" s="128"/>
      <c r="F128" s="128"/>
      <c r="G128" s="128"/>
      <c r="H128" s="197"/>
      <c r="I128" s="198"/>
      <c r="J128" s="198"/>
      <c r="K128" s="199"/>
      <c r="L128" s="133"/>
      <c r="M128" s="133"/>
      <c r="N128" s="133"/>
      <c r="O128" s="133"/>
      <c r="P128" s="133"/>
    </row>
    <row r="129" spans="1:26" ht="19.5" hidden="1">
      <c r="A129" s="134"/>
      <c r="B129" s="204" t="s">
        <v>67</v>
      </c>
      <c r="C129" s="200"/>
      <c r="D129" s="137"/>
      <c r="E129" s="136"/>
      <c r="F129" s="136"/>
      <c r="G129" s="136"/>
      <c r="H129" s="203"/>
      <c r="I129" s="201"/>
      <c r="J129" s="201"/>
      <c r="K129" s="142"/>
      <c r="L129" s="142"/>
      <c r="M129" s="142"/>
      <c r="N129" s="142"/>
      <c r="O129" s="142"/>
      <c r="P129" s="142"/>
    </row>
    <row r="130" spans="1:26" ht="19.5" hidden="1">
      <c r="A130" s="134"/>
      <c r="B130" s="204"/>
      <c r="C130" s="205" t="s">
        <v>68</v>
      </c>
      <c r="D130" s="137"/>
      <c r="E130" s="136"/>
      <c r="F130" s="136"/>
      <c r="G130" s="138"/>
      <c r="H130" s="139" t="s">
        <v>69</v>
      </c>
      <c r="I130" s="140">
        <f t="shared" ref="I130:J130" ca="1" si="66">I146</f>
        <v>0</v>
      </c>
      <c r="J130" s="140">
        <f t="shared" si="66"/>
        <v>0</v>
      </c>
      <c r="K130" s="141">
        <f t="shared" ref="K130:K131" ca="1" si="67">IF(I130&gt;0,J130*100/I130,0)</f>
        <v>0</v>
      </c>
      <c r="L130" s="142"/>
      <c r="M130" s="142"/>
      <c r="N130" s="142"/>
      <c r="O130" s="142"/>
      <c r="P130" s="142"/>
    </row>
    <row r="131" spans="1:26" ht="19.5" hidden="1">
      <c r="A131" s="134"/>
      <c r="B131" s="204"/>
      <c r="C131" s="205" t="s">
        <v>70</v>
      </c>
      <c r="D131" s="137"/>
      <c r="E131" s="136"/>
      <c r="F131" s="136"/>
      <c r="G131" s="138"/>
      <c r="H131" s="139" t="s">
        <v>35</v>
      </c>
      <c r="I131" s="140">
        <f t="shared" ref="I131:J131" ca="1" si="68">I143</f>
        <v>0</v>
      </c>
      <c r="J131" s="140">
        <f t="shared" ca="1" si="68"/>
        <v>0</v>
      </c>
      <c r="K131" s="141">
        <f t="shared" ca="1" si="67"/>
        <v>0</v>
      </c>
      <c r="L131" s="142"/>
      <c r="M131" s="142"/>
      <c r="N131" s="142"/>
      <c r="O131" s="142"/>
      <c r="P131" s="142"/>
    </row>
    <row r="132" spans="1:26" ht="19.5" hidden="1">
      <c r="A132" s="143"/>
      <c r="B132" s="144"/>
      <c r="C132" s="145" t="s">
        <v>16</v>
      </c>
      <c r="D132" s="825" t="s">
        <v>17</v>
      </c>
      <c r="E132" s="144"/>
      <c r="F132" s="144"/>
      <c r="G132" s="147"/>
      <c r="H132" s="148" t="s">
        <v>12</v>
      </c>
      <c r="I132" s="418"/>
      <c r="J132" s="418"/>
      <c r="K132" s="150"/>
      <c r="L132" s="151">
        <f t="shared" ref="L132:N132" ca="1" si="69">L133+L134</f>
        <v>0</v>
      </c>
      <c r="M132" s="151">
        <f t="shared" ca="1" si="69"/>
        <v>0</v>
      </c>
      <c r="N132" s="151">
        <f t="shared" ca="1" si="69"/>
        <v>0</v>
      </c>
      <c r="O132" s="151">
        <f t="shared" ref="O132:O140" ca="1" si="70">IF(L132&gt;0,N132*100/L132,0)</f>
        <v>0</v>
      </c>
      <c r="P132" s="151">
        <f t="shared" ref="P132:P140" ca="1" si="71">IF(M132&gt;0,N132*100/M132,0)</f>
        <v>0</v>
      </c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8.75" hidden="1">
      <c r="A133" s="152"/>
      <c r="B133" s="39"/>
      <c r="C133" s="39"/>
      <c r="D133" s="39"/>
      <c r="E133" s="218" t="s">
        <v>18</v>
      </c>
      <c r="F133" s="39"/>
      <c r="G133" s="153"/>
      <c r="H133" s="154" t="s">
        <v>12</v>
      </c>
      <c r="I133" s="609"/>
      <c r="J133" s="609"/>
      <c r="K133" s="90"/>
      <c r="L133" s="90">
        <f t="shared" ref="L133:N134" si="72">L136+L139</f>
        <v>0</v>
      </c>
      <c r="M133" s="90">
        <f t="shared" si="72"/>
        <v>0</v>
      </c>
      <c r="N133" s="90">
        <f t="shared" si="72"/>
        <v>0</v>
      </c>
      <c r="O133" s="90">
        <f t="shared" si="70"/>
        <v>0</v>
      </c>
      <c r="P133" s="90">
        <f t="shared" si="71"/>
        <v>0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hidden="1">
      <c r="A134" s="152"/>
      <c r="B134" s="39"/>
      <c r="C134" s="39"/>
      <c r="D134" s="39"/>
      <c r="E134" s="218" t="s">
        <v>19</v>
      </c>
      <c r="F134" s="39"/>
      <c r="G134" s="153"/>
      <c r="H134" s="154" t="s">
        <v>12</v>
      </c>
      <c r="I134" s="609"/>
      <c r="J134" s="609"/>
      <c r="K134" s="90"/>
      <c r="L134" s="90">
        <f t="shared" ca="1" si="72"/>
        <v>0</v>
      </c>
      <c r="M134" s="90">
        <f t="shared" ca="1" si="72"/>
        <v>0</v>
      </c>
      <c r="N134" s="90">
        <f t="shared" ca="1" si="72"/>
        <v>0</v>
      </c>
      <c r="O134" s="90">
        <f t="shared" ca="1" si="70"/>
        <v>0</v>
      </c>
      <c r="P134" s="90">
        <f t="shared" ca="1" si="71"/>
        <v>0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hidden="1">
      <c r="A135" s="155"/>
      <c r="B135" s="32"/>
      <c r="C135" s="276"/>
      <c r="D135" s="33" t="s">
        <v>20</v>
      </c>
      <c r="E135" s="32"/>
      <c r="F135" s="32"/>
      <c r="G135" s="34"/>
      <c r="H135" s="157" t="s">
        <v>12</v>
      </c>
      <c r="I135" s="180"/>
      <c r="J135" s="180"/>
      <c r="K135" s="159"/>
      <c r="L135" s="495">
        <f t="shared" ref="L135:N135" ca="1" si="73">L136+L137</f>
        <v>0</v>
      </c>
      <c r="M135" s="495">
        <f t="shared" ca="1" si="73"/>
        <v>0</v>
      </c>
      <c r="N135" s="495">
        <f t="shared" ca="1" si="73"/>
        <v>0</v>
      </c>
      <c r="O135" s="495">
        <f t="shared" ca="1" si="70"/>
        <v>0</v>
      </c>
      <c r="P135" s="495">
        <f t="shared" ca="1" si="71"/>
        <v>0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9.5" hidden="1">
      <c r="A136" s="152"/>
      <c r="B136" s="39"/>
      <c r="C136" s="160"/>
      <c r="D136" s="39"/>
      <c r="E136" s="218" t="s">
        <v>36</v>
      </c>
      <c r="F136" s="39"/>
      <c r="G136" s="153"/>
      <c r="H136" s="161" t="s">
        <v>12</v>
      </c>
      <c r="I136" s="162"/>
      <c r="J136" s="162"/>
      <c r="K136" s="163"/>
      <c r="L136" s="90">
        <v>0</v>
      </c>
      <c r="M136" s="90">
        <v>0</v>
      </c>
      <c r="N136" s="90">
        <v>0</v>
      </c>
      <c r="O136" s="90">
        <f t="shared" si="70"/>
        <v>0</v>
      </c>
      <c r="P136" s="90">
        <f t="shared" si="71"/>
        <v>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9.5" hidden="1">
      <c r="A137" s="152"/>
      <c r="B137" s="39"/>
      <c r="C137" s="160"/>
      <c r="D137" s="39"/>
      <c r="E137" s="218" t="s">
        <v>37</v>
      </c>
      <c r="F137" s="39"/>
      <c r="G137" s="153"/>
      <c r="H137" s="161" t="s">
        <v>12</v>
      </c>
      <c r="I137" s="162"/>
      <c r="J137" s="162"/>
      <c r="K137" s="163"/>
      <c r="L137" s="90">
        <f ca="1">IFERROR(__xludf.DUMMYFUNCTION("IMPORTRANGE(""https://docs.google.com/spreadsheets/d/1MeEWN-I1oV_STSDYn1IFDPWt_1FKiwhDph83XaGc0o0/edit?usp=sharing"",""งบพรบ!BK73"")"),0)</f>
        <v>0</v>
      </c>
      <c r="M137" s="90">
        <f ca="1">IFERROR(__xludf.DUMMYFUNCTION("IMPORTRANGE(""https://docs.google.com/spreadsheets/d/1MeEWN-I1oV_STSDYn1IFDPWt_1FKiwhDph83XaGc0o0/edit?usp=sharing"",""งบพรบ!BP73"")"),0)</f>
        <v>0</v>
      </c>
      <c r="N137" s="90">
        <f ca="1">IFERROR(__xludf.DUMMYFUNCTION("IMPORTRANGE(""https://docs.google.com/spreadsheets/d/1MeEWN-I1oV_STSDYn1IFDPWt_1FKiwhDph83XaGc0o0/edit?usp=sharing"",""งบพรบ!BR73"")"),0)</f>
        <v>0</v>
      </c>
      <c r="O137" s="90">
        <f t="shared" ca="1" si="70"/>
        <v>0</v>
      </c>
      <c r="P137" s="90">
        <f t="shared" ca="1" si="71"/>
        <v>0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hidden="1">
      <c r="A138" s="155"/>
      <c r="B138" s="32"/>
      <c r="C138" s="276"/>
      <c r="D138" s="33" t="s">
        <v>21</v>
      </c>
      <c r="E138" s="32"/>
      <c r="F138" s="32"/>
      <c r="G138" s="34"/>
      <c r="H138" s="164" t="s">
        <v>12</v>
      </c>
      <c r="I138" s="180"/>
      <c r="J138" s="180"/>
      <c r="K138" s="159"/>
      <c r="L138" s="495">
        <f t="shared" ref="L138:N138" ca="1" si="74">L139+L140</f>
        <v>0</v>
      </c>
      <c r="M138" s="495">
        <f t="shared" ca="1" si="74"/>
        <v>0</v>
      </c>
      <c r="N138" s="495">
        <f t="shared" ca="1" si="74"/>
        <v>0</v>
      </c>
      <c r="O138" s="495">
        <f t="shared" ca="1" si="70"/>
        <v>0</v>
      </c>
      <c r="P138" s="495">
        <f t="shared" ca="1" si="71"/>
        <v>0</v>
      </c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9.5" hidden="1">
      <c r="A139" s="152"/>
      <c r="B139" s="39"/>
      <c r="C139" s="160"/>
      <c r="D139" s="39"/>
      <c r="E139" s="218" t="s">
        <v>18</v>
      </c>
      <c r="F139" s="39"/>
      <c r="G139" s="153"/>
      <c r="H139" s="161" t="s">
        <v>12</v>
      </c>
      <c r="I139" s="162"/>
      <c r="J139" s="162"/>
      <c r="K139" s="163"/>
      <c r="L139" s="90">
        <v>0</v>
      </c>
      <c r="M139" s="90">
        <v>0</v>
      </c>
      <c r="N139" s="90">
        <v>0</v>
      </c>
      <c r="O139" s="90">
        <f t="shared" si="70"/>
        <v>0</v>
      </c>
      <c r="P139" s="90">
        <f t="shared" si="71"/>
        <v>0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9.5" hidden="1">
      <c r="A140" s="152"/>
      <c r="B140" s="39"/>
      <c r="C140" s="160"/>
      <c r="D140" s="39"/>
      <c r="E140" s="218" t="s">
        <v>19</v>
      </c>
      <c r="F140" s="39"/>
      <c r="G140" s="153"/>
      <c r="H140" s="165" t="s">
        <v>12</v>
      </c>
      <c r="I140" s="162"/>
      <c r="J140" s="162"/>
      <c r="K140" s="163"/>
      <c r="L140" s="90">
        <f ca="1">IFERROR(__xludf.DUMMYFUNCTION("IMPORTRANGE(""https://docs.google.com/spreadsheets/d/1MeEWN-I1oV_STSDYn1IFDPWt_1FKiwhDph83XaGc0o0/edit?usp=sharing"",""งบพรบ!BN73"")"),0)</f>
        <v>0</v>
      </c>
      <c r="M140" s="90">
        <f ca="1">IFERROR(__xludf.DUMMYFUNCTION("IMPORTRANGE(""https://docs.google.com/spreadsheets/d/1MeEWN-I1oV_STSDYn1IFDPWt_1FKiwhDph83XaGc0o0/edit?usp=sharing"",""งบพรบ!BQ73"")"),0)</f>
        <v>0</v>
      </c>
      <c r="N140" s="90">
        <f ca="1">IFERROR(__xludf.DUMMYFUNCTION("IMPORTRANGE(""https://docs.google.com/spreadsheets/d/1MeEWN-I1oV_STSDYn1IFDPWt_1FKiwhDph83XaGc0o0/edit?usp=sharing"",""งบพรบ!BS73"")"),0)</f>
        <v>0</v>
      </c>
      <c r="O140" s="90">
        <f t="shared" ca="1" si="70"/>
        <v>0</v>
      </c>
      <c r="P140" s="90">
        <f t="shared" ca="1" si="71"/>
        <v>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9.5" hidden="1">
      <c r="A141" s="166"/>
      <c r="B141" s="167"/>
      <c r="C141" s="145" t="s">
        <v>16</v>
      </c>
      <c r="D141" s="826" t="s">
        <v>38</v>
      </c>
      <c r="E141" s="169"/>
      <c r="F141" s="169"/>
      <c r="G141" s="170"/>
      <c r="H141" s="164"/>
      <c r="I141" s="264"/>
      <c r="J141" s="264"/>
      <c r="K141" s="495"/>
      <c r="L141" s="495"/>
      <c r="M141" s="495"/>
      <c r="N141" s="495"/>
      <c r="O141" s="495"/>
      <c r="P141" s="495"/>
    </row>
    <row r="142" spans="1:26" ht="19.5" hidden="1">
      <c r="A142" s="155"/>
      <c r="B142" s="32"/>
      <c r="C142" s="206"/>
      <c r="D142" s="276" t="s">
        <v>71</v>
      </c>
      <c r="E142" s="33"/>
      <c r="F142" s="32"/>
      <c r="G142" s="209"/>
      <c r="H142" s="164"/>
      <c r="I142" s="264"/>
      <c r="J142" s="210">
        <v>0</v>
      </c>
      <c r="K142" s="495"/>
      <c r="L142" s="495"/>
      <c r="M142" s="495"/>
      <c r="N142" s="495"/>
      <c r="O142" s="495"/>
      <c r="P142" s="495"/>
    </row>
    <row r="143" spans="1:26" ht="19.5" hidden="1">
      <c r="A143" s="155"/>
      <c r="B143" s="32"/>
      <c r="C143" s="206"/>
      <c r="D143" s="276" t="s">
        <v>72</v>
      </c>
      <c r="E143" s="33"/>
      <c r="F143" s="32"/>
      <c r="G143" s="209"/>
      <c r="H143" s="164" t="s">
        <v>35</v>
      </c>
      <c r="I143" s="264">
        <f ca="1">I145</f>
        <v>0</v>
      </c>
      <c r="J143" s="264">
        <f ca="1">IF(AND(J144&gt;=I144,J145&gt;=I145),J145,0)</f>
        <v>0</v>
      </c>
      <c r="K143" s="495">
        <f t="shared" ref="K143:K146" ca="1" si="75">IF(I143&gt;0,J143*100/I143,0)</f>
        <v>0</v>
      </c>
      <c r="L143" s="495"/>
      <c r="M143" s="495"/>
      <c r="N143" s="495"/>
      <c r="O143" s="495"/>
      <c r="P143" s="495"/>
    </row>
    <row r="144" spans="1:26" ht="19.5" hidden="1">
      <c r="A144" s="155"/>
      <c r="B144" s="32"/>
      <c r="C144" s="206"/>
      <c r="D144" s="174"/>
      <c r="E144" s="276" t="s">
        <v>73</v>
      </c>
      <c r="F144" s="32"/>
      <c r="G144" s="209"/>
      <c r="H144" s="164" t="s">
        <v>35</v>
      </c>
      <c r="I144" s="264">
        <f ca="1">IFERROR(__xludf.DUMMYFUNCTION("IMPORTRANGE(""https://docs.google.com/spreadsheets/d/1QqKyyYR6Q21VydFLVH3TRQUabQu_ym0Zz7PgGX0-kHA/edit?usp=sharing"",""แผน!U73"")"),0)</f>
        <v>0</v>
      </c>
      <c r="J144" s="210">
        <v>0</v>
      </c>
      <c r="K144" s="495">
        <f t="shared" ca="1" si="75"/>
        <v>0</v>
      </c>
      <c r="L144" s="495"/>
      <c r="M144" s="495"/>
      <c r="N144" s="495"/>
      <c r="O144" s="495"/>
      <c r="P144" s="495"/>
    </row>
    <row r="145" spans="1:26" ht="19.5" hidden="1">
      <c r="A145" s="155"/>
      <c r="B145" s="32"/>
      <c r="C145" s="206"/>
      <c r="D145" s="174"/>
      <c r="E145" s="276" t="s">
        <v>74</v>
      </c>
      <c r="F145" s="32"/>
      <c r="G145" s="209"/>
      <c r="H145" s="164" t="s">
        <v>35</v>
      </c>
      <c r="I145" s="264">
        <f ca="1">IFERROR(__xludf.DUMMYFUNCTION("IMPORTRANGE(""https://docs.google.com/spreadsheets/d/1QqKyyYR6Q21VydFLVH3TRQUabQu_ym0Zz7PgGX0-kHA/edit?usp=sharing"",""แผน!V73"")"),0)</f>
        <v>0</v>
      </c>
      <c r="J145" s="210">
        <v>0</v>
      </c>
      <c r="K145" s="495">
        <f t="shared" ca="1" si="75"/>
        <v>0</v>
      </c>
      <c r="L145" s="495"/>
      <c r="M145" s="495"/>
      <c r="N145" s="495"/>
      <c r="O145" s="495"/>
      <c r="P145" s="495"/>
    </row>
    <row r="146" spans="1:26" ht="19.5" hidden="1">
      <c r="A146" s="155"/>
      <c r="B146" s="32"/>
      <c r="C146" s="206"/>
      <c r="D146" s="276" t="s">
        <v>75</v>
      </c>
      <c r="E146" s="33"/>
      <c r="F146" s="32"/>
      <c r="G146" s="209"/>
      <c r="H146" s="164" t="s">
        <v>69</v>
      </c>
      <c r="I146" s="264">
        <f ca="1">IFERROR(__xludf.DUMMYFUNCTION("IMPORTRANGE(""https://docs.google.com/spreadsheets/d/1QqKyyYR6Q21VydFLVH3TRQUabQu_ym0Zz7PgGX0-kHA/edit?usp=sharing"",""แผน!W73"")"),0)</f>
        <v>0</v>
      </c>
      <c r="J146" s="210">
        <v>0</v>
      </c>
      <c r="K146" s="495">
        <f t="shared" ca="1" si="75"/>
        <v>0</v>
      </c>
      <c r="L146" s="495"/>
      <c r="M146" s="495"/>
      <c r="N146" s="495"/>
      <c r="O146" s="495"/>
      <c r="P146" s="495"/>
    </row>
    <row r="147" spans="1:26" ht="19.5" hidden="1">
      <c r="A147" s="127" t="s">
        <v>76</v>
      </c>
      <c r="B147" s="128"/>
      <c r="C147" s="196"/>
      <c r="D147" s="128"/>
      <c r="E147" s="128"/>
      <c r="F147" s="128"/>
      <c r="G147" s="128"/>
      <c r="H147" s="197"/>
      <c r="I147" s="198"/>
      <c r="J147" s="198"/>
      <c r="K147" s="199"/>
      <c r="L147" s="133"/>
      <c r="M147" s="133"/>
      <c r="N147" s="133"/>
      <c r="O147" s="133"/>
      <c r="P147" s="133"/>
    </row>
    <row r="148" spans="1:26" ht="19.5" hidden="1">
      <c r="A148" s="212"/>
      <c r="B148" s="204" t="s">
        <v>77</v>
      </c>
      <c r="C148" s="204"/>
      <c r="D148" s="204"/>
      <c r="E148" s="827"/>
      <c r="F148" s="214"/>
      <c r="G148" s="215"/>
      <c r="H148" s="216" t="s">
        <v>35</v>
      </c>
      <c r="I148" s="140">
        <f t="shared" ref="I148:J148" ca="1" si="76">I159</f>
        <v>0</v>
      </c>
      <c r="J148" s="140">
        <f t="shared" si="76"/>
        <v>0</v>
      </c>
      <c r="K148" s="141">
        <f ca="1">IF(I148&gt;0,J148*100/I148,0)</f>
        <v>0</v>
      </c>
      <c r="L148" s="141"/>
      <c r="M148" s="141"/>
      <c r="N148" s="141"/>
      <c r="O148" s="141"/>
      <c r="P148" s="141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ht="19.5" hidden="1">
      <c r="A149" s="143"/>
      <c r="B149" s="144"/>
      <c r="C149" s="145" t="s">
        <v>16</v>
      </c>
      <c r="D149" s="825" t="s">
        <v>17</v>
      </c>
      <c r="E149" s="144"/>
      <c r="F149" s="144"/>
      <c r="G149" s="147"/>
      <c r="H149" s="148" t="s">
        <v>12</v>
      </c>
      <c r="I149" s="418"/>
      <c r="J149" s="418"/>
      <c r="K149" s="150"/>
      <c r="L149" s="151">
        <f t="shared" ref="L149:N149" ca="1" si="77">L150+L151</f>
        <v>0</v>
      </c>
      <c r="M149" s="151">
        <f t="shared" ca="1" si="77"/>
        <v>0</v>
      </c>
      <c r="N149" s="151">
        <f t="shared" ca="1" si="77"/>
        <v>0</v>
      </c>
      <c r="O149" s="151">
        <f t="shared" ref="O149:O157" ca="1" si="78">IF(L149&gt;0,N149*100/L149,0)</f>
        <v>0</v>
      </c>
      <c r="P149" s="151">
        <f t="shared" ref="P149:P157" ca="1" si="79">IF(M149&gt;0,N149*100/M149,0)</f>
        <v>0</v>
      </c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8.75" hidden="1">
      <c r="A150" s="152"/>
      <c r="B150" s="39"/>
      <c r="C150" s="39"/>
      <c r="D150" s="39"/>
      <c r="E150" s="218" t="s">
        <v>18</v>
      </c>
      <c r="F150" s="39"/>
      <c r="G150" s="153"/>
      <c r="H150" s="154" t="s">
        <v>12</v>
      </c>
      <c r="I150" s="609"/>
      <c r="J150" s="609"/>
      <c r="K150" s="90"/>
      <c r="L150" s="90">
        <f t="shared" ref="L150:N151" si="80">L153+L156</f>
        <v>0</v>
      </c>
      <c r="M150" s="90">
        <f t="shared" si="80"/>
        <v>0</v>
      </c>
      <c r="N150" s="90">
        <f t="shared" si="80"/>
        <v>0</v>
      </c>
      <c r="O150" s="90">
        <f t="shared" si="78"/>
        <v>0</v>
      </c>
      <c r="P150" s="90">
        <f t="shared" si="79"/>
        <v>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hidden="1">
      <c r="A151" s="152"/>
      <c r="B151" s="39"/>
      <c r="C151" s="39"/>
      <c r="D151" s="39"/>
      <c r="E151" s="218" t="s">
        <v>19</v>
      </c>
      <c r="F151" s="39"/>
      <c r="G151" s="153"/>
      <c r="H151" s="154" t="s">
        <v>12</v>
      </c>
      <c r="I151" s="609"/>
      <c r="J151" s="609"/>
      <c r="K151" s="90"/>
      <c r="L151" s="90">
        <f t="shared" ca="1" si="80"/>
        <v>0</v>
      </c>
      <c r="M151" s="90">
        <f t="shared" ca="1" si="80"/>
        <v>0</v>
      </c>
      <c r="N151" s="90">
        <f t="shared" ca="1" si="80"/>
        <v>0</v>
      </c>
      <c r="O151" s="90">
        <f t="shared" ca="1" si="78"/>
        <v>0</v>
      </c>
      <c r="P151" s="90">
        <f t="shared" ca="1" si="79"/>
        <v>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hidden="1">
      <c r="A152" s="155"/>
      <c r="B152" s="32"/>
      <c r="C152" s="276"/>
      <c r="D152" s="33" t="s">
        <v>20</v>
      </c>
      <c r="E152" s="32"/>
      <c r="F152" s="32"/>
      <c r="G152" s="34"/>
      <c r="H152" s="157" t="s">
        <v>12</v>
      </c>
      <c r="I152" s="180"/>
      <c r="J152" s="180"/>
      <c r="K152" s="159"/>
      <c r="L152" s="495">
        <f t="shared" ref="L152:N152" ca="1" si="81">L153+L154</f>
        <v>0</v>
      </c>
      <c r="M152" s="495">
        <f t="shared" ca="1" si="81"/>
        <v>0</v>
      </c>
      <c r="N152" s="495">
        <f t="shared" ca="1" si="81"/>
        <v>0</v>
      </c>
      <c r="O152" s="495">
        <f t="shared" ca="1" si="78"/>
        <v>0</v>
      </c>
      <c r="P152" s="495">
        <f t="shared" ca="1" si="79"/>
        <v>0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9.5" hidden="1">
      <c r="A153" s="152"/>
      <c r="B153" s="39"/>
      <c r="C153" s="160"/>
      <c r="D153" s="39"/>
      <c r="E153" s="218" t="s">
        <v>36</v>
      </c>
      <c r="F153" s="39"/>
      <c r="G153" s="153"/>
      <c r="H153" s="161" t="s">
        <v>12</v>
      </c>
      <c r="I153" s="162"/>
      <c r="J153" s="162"/>
      <c r="K153" s="163"/>
      <c r="L153" s="90">
        <v>0</v>
      </c>
      <c r="M153" s="90">
        <v>0</v>
      </c>
      <c r="N153" s="90">
        <v>0</v>
      </c>
      <c r="O153" s="90">
        <f t="shared" si="78"/>
        <v>0</v>
      </c>
      <c r="P153" s="90">
        <f t="shared" si="79"/>
        <v>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9.5" hidden="1">
      <c r="A154" s="152"/>
      <c r="B154" s="39"/>
      <c r="C154" s="160"/>
      <c r="D154" s="39"/>
      <c r="E154" s="218" t="s">
        <v>37</v>
      </c>
      <c r="F154" s="39"/>
      <c r="G154" s="153"/>
      <c r="H154" s="161" t="s">
        <v>12</v>
      </c>
      <c r="I154" s="162"/>
      <c r="J154" s="162"/>
      <c r="K154" s="163"/>
      <c r="L154" s="90">
        <f ca="1">IFERROR(__xludf.DUMMYFUNCTION("IMPORTRANGE(""https://docs.google.com/spreadsheets/d/1MeEWN-I1oV_STSDYn1IFDPWt_1FKiwhDph83XaGc0o0/edit?usp=sharing"",""งบพรบ!BU73"")"),0)</f>
        <v>0</v>
      </c>
      <c r="M154" s="90">
        <f ca="1">IFERROR(__xludf.DUMMYFUNCTION("IMPORTRANGE(""https://docs.google.com/spreadsheets/d/1MeEWN-I1oV_STSDYn1IFDPWt_1FKiwhDph83XaGc0o0/edit?usp=sharing"",""งบพรบ!BZ73"")"),0)</f>
        <v>0</v>
      </c>
      <c r="N154" s="90">
        <f ca="1">IFERROR(__xludf.DUMMYFUNCTION("IMPORTRANGE(""https://docs.google.com/spreadsheets/d/1MeEWN-I1oV_STSDYn1IFDPWt_1FKiwhDph83XaGc0o0/edit?usp=sharing"",""งบพรบ!CB73"")"),0)</f>
        <v>0</v>
      </c>
      <c r="O154" s="90">
        <f t="shared" ca="1" si="78"/>
        <v>0</v>
      </c>
      <c r="P154" s="90">
        <f t="shared" ca="1" si="79"/>
        <v>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hidden="1">
      <c r="A155" s="155"/>
      <c r="B155" s="32"/>
      <c r="C155" s="276"/>
      <c r="D155" s="33" t="s">
        <v>21</v>
      </c>
      <c r="E155" s="32"/>
      <c r="F155" s="32"/>
      <c r="G155" s="34"/>
      <c r="H155" s="164" t="s">
        <v>12</v>
      </c>
      <c r="I155" s="180"/>
      <c r="J155" s="180"/>
      <c r="K155" s="159"/>
      <c r="L155" s="495">
        <f t="shared" ref="L155:N155" ca="1" si="82">L156+L157</f>
        <v>0</v>
      </c>
      <c r="M155" s="495">
        <f t="shared" ca="1" si="82"/>
        <v>0</v>
      </c>
      <c r="N155" s="495">
        <f t="shared" ca="1" si="82"/>
        <v>0</v>
      </c>
      <c r="O155" s="495">
        <f t="shared" ca="1" si="78"/>
        <v>0</v>
      </c>
      <c r="P155" s="495">
        <f t="shared" ca="1" si="79"/>
        <v>0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9.5" hidden="1">
      <c r="A156" s="152"/>
      <c r="B156" s="39"/>
      <c r="C156" s="160"/>
      <c r="D156" s="39"/>
      <c r="E156" s="218" t="s">
        <v>18</v>
      </c>
      <c r="F156" s="39"/>
      <c r="G156" s="153"/>
      <c r="H156" s="161" t="s">
        <v>12</v>
      </c>
      <c r="I156" s="162"/>
      <c r="J156" s="162"/>
      <c r="K156" s="163"/>
      <c r="L156" s="90">
        <v>0</v>
      </c>
      <c r="M156" s="90">
        <v>0</v>
      </c>
      <c r="N156" s="90">
        <v>0</v>
      </c>
      <c r="O156" s="90">
        <f t="shared" si="78"/>
        <v>0</v>
      </c>
      <c r="P156" s="90">
        <f t="shared" si="79"/>
        <v>0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9.5" hidden="1">
      <c r="A157" s="152"/>
      <c r="B157" s="39"/>
      <c r="C157" s="160"/>
      <c r="D157" s="39"/>
      <c r="E157" s="218" t="s">
        <v>19</v>
      </c>
      <c r="F157" s="39"/>
      <c r="G157" s="153"/>
      <c r="H157" s="165" t="s">
        <v>12</v>
      </c>
      <c r="I157" s="162"/>
      <c r="J157" s="162"/>
      <c r="K157" s="163"/>
      <c r="L157" s="90">
        <f ca="1">IFERROR(__xludf.DUMMYFUNCTION("IMPORTRANGE(""https://docs.google.com/spreadsheets/d/1MeEWN-I1oV_STSDYn1IFDPWt_1FKiwhDph83XaGc0o0/edit?usp=sharing"",""งบพรบ!BX73"")"),0)</f>
        <v>0</v>
      </c>
      <c r="M157" s="90">
        <f ca="1">IFERROR(__xludf.DUMMYFUNCTION("IMPORTRANGE(""https://docs.google.com/spreadsheets/d/1MeEWN-I1oV_STSDYn1IFDPWt_1FKiwhDph83XaGc0o0/edit?usp=sharing"",""งบพรบ!CA73"")"),0)</f>
        <v>0</v>
      </c>
      <c r="N157" s="90">
        <f ca="1">IFERROR(__xludf.DUMMYFUNCTION("IMPORTRANGE(""https://docs.google.com/spreadsheets/d/1MeEWN-I1oV_STSDYn1IFDPWt_1FKiwhDph83XaGc0o0/edit?usp=sharing"",""งบพรบ!CC73"")"),0)</f>
        <v>0</v>
      </c>
      <c r="O157" s="90">
        <f t="shared" ca="1" si="78"/>
        <v>0</v>
      </c>
      <c r="P157" s="90">
        <f t="shared" ca="1" si="79"/>
        <v>0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9.5" hidden="1">
      <c r="A158" s="166"/>
      <c r="B158" s="167"/>
      <c r="C158" s="160" t="s">
        <v>16</v>
      </c>
      <c r="D158" s="826" t="s">
        <v>38</v>
      </c>
      <c r="E158" s="169"/>
      <c r="F158" s="169"/>
      <c r="G158" s="170"/>
      <c r="H158" s="164"/>
      <c r="I158" s="264"/>
      <c r="J158" s="264"/>
      <c r="K158" s="495"/>
      <c r="L158" s="495"/>
      <c r="M158" s="495"/>
      <c r="N158" s="495"/>
      <c r="O158" s="495"/>
      <c r="P158" s="495"/>
    </row>
    <row r="159" spans="1:26" ht="19.5" hidden="1">
      <c r="A159" s="155"/>
      <c r="B159" s="32"/>
      <c r="C159" s="206"/>
      <c r="D159" s="276" t="s">
        <v>78</v>
      </c>
      <c r="E159" s="33"/>
      <c r="F159" s="32"/>
      <c r="G159" s="209"/>
      <c r="H159" s="164" t="s">
        <v>35</v>
      </c>
      <c r="I159" s="264">
        <f ca="1">IFERROR(__xludf.DUMMYFUNCTION("IMPORTRANGE(""https://docs.google.com/spreadsheets/d/1QqKyyYR6Q21VydFLVH3TRQUabQu_ym0Zz7PgGX0-kHA/edit?usp=sharing"",""แผน!X73"")"),0)</f>
        <v>0</v>
      </c>
      <c r="J159" s="210">
        <v>0</v>
      </c>
      <c r="K159" s="495">
        <f ca="1">IF(I159&gt;0,J159*100/I159,0)</f>
        <v>0</v>
      </c>
      <c r="L159" s="495"/>
      <c r="M159" s="495"/>
      <c r="N159" s="495"/>
      <c r="O159" s="495"/>
      <c r="P159" s="495"/>
    </row>
    <row r="160" spans="1:26" ht="19.5" hidden="1">
      <c r="A160" s="152"/>
      <c r="B160" s="39"/>
      <c r="C160" s="160"/>
      <c r="D160" s="218" t="s">
        <v>79</v>
      </c>
      <c r="E160" s="219"/>
      <c r="F160" s="39"/>
      <c r="G160" s="153"/>
      <c r="H160" s="165" t="s">
        <v>35</v>
      </c>
      <c r="I160" s="609"/>
      <c r="J160" s="609"/>
      <c r="K160" s="90"/>
      <c r="L160" s="90"/>
      <c r="M160" s="90"/>
      <c r="N160" s="90"/>
      <c r="O160" s="90"/>
      <c r="P160" s="9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9.5" hidden="1">
      <c r="A161" s="221"/>
      <c r="B161" s="222"/>
      <c r="C161" s="223"/>
      <c r="D161" s="224" t="s">
        <v>80</v>
      </c>
      <c r="E161" s="828"/>
      <c r="F161" s="222"/>
      <c r="G161" s="226"/>
      <c r="H161" s="227" t="s">
        <v>35</v>
      </c>
      <c r="I161" s="228"/>
      <c r="J161" s="228"/>
      <c r="K161" s="229"/>
      <c r="L161" s="229"/>
      <c r="M161" s="229"/>
      <c r="N161" s="229"/>
      <c r="O161" s="229"/>
      <c r="P161" s="229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9.5">
      <c r="A162" s="230" t="s">
        <v>81</v>
      </c>
      <c r="B162" s="231"/>
      <c r="C162" s="231"/>
      <c r="D162" s="231"/>
      <c r="E162" s="232"/>
      <c r="F162" s="232"/>
      <c r="G162" s="233"/>
      <c r="H162" s="234"/>
      <c r="I162" s="235"/>
      <c r="J162" s="235"/>
      <c r="K162" s="236"/>
      <c r="L162" s="236"/>
      <c r="M162" s="236"/>
      <c r="N162" s="236"/>
      <c r="O162" s="236"/>
      <c r="P162" s="236"/>
    </row>
    <row r="163" spans="1:26" ht="19.5">
      <c r="A163" s="237" t="s">
        <v>82</v>
      </c>
      <c r="B163" s="238"/>
      <c r="C163" s="238"/>
      <c r="D163" s="239"/>
      <c r="E163" s="239"/>
      <c r="F163" s="239"/>
      <c r="G163" s="240"/>
      <c r="H163" s="241"/>
      <c r="I163" s="242"/>
      <c r="J163" s="242"/>
      <c r="K163" s="243"/>
      <c r="L163" s="243"/>
      <c r="M163" s="243"/>
      <c r="N163" s="243"/>
      <c r="O163" s="243"/>
      <c r="P163" s="243"/>
    </row>
    <row r="164" spans="1:26" ht="19.5" hidden="1">
      <c r="A164" s="244"/>
      <c r="B164" s="245" t="s">
        <v>83</v>
      </c>
      <c r="C164" s="246"/>
      <c r="D164" s="169"/>
      <c r="E164" s="169"/>
      <c r="F164" s="169"/>
      <c r="G164" s="170"/>
      <c r="H164" s="247" t="s">
        <v>35</v>
      </c>
      <c r="I164" s="248">
        <f t="shared" ref="I164:J164" ca="1" si="83">I174+I177</f>
        <v>0</v>
      </c>
      <c r="J164" s="248">
        <f t="shared" si="83"/>
        <v>0</v>
      </c>
      <c r="K164" s="249">
        <f ca="1">IF(I164&gt;0,J164*100/I164,0)</f>
        <v>0</v>
      </c>
      <c r="L164" s="249"/>
      <c r="M164" s="249"/>
      <c r="N164" s="249"/>
      <c r="O164" s="249"/>
      <c r="P164" s="249"/>
    </row>
    <row r="165" spans="1:26" ht="19.5" hidden="1">
      <c r="A165" s="143"/>
      <c r="B165" s="144"/>
      <c r="C165" s="145" t="s">
        <v>16</v>
      </c>
      <c r="D165" s="825" t="s">
        <v>17</v>
      </c>
      <c r="E165" s="144"/>
      <c r="F165" s="144"/>
      <c r="G165" s="147"/>
      <c r="H165" s="148" t="s">
        <v>12</v>
      </c>
      <c r="I165" s="418"/>
      <c r="J165" s="418"/>
      <c r="K165" s="150"/>
      <c r="L165" s="150">
        <f t="shared" ref="L165:N165" ca="1" si="84">L166+L167</f>
        <v>0</v>
      </c>
      <c r="M165" s="150">
        <f t="shared" ca="1" si="84"/>
        <v>0</v>
      </c>
      <c r="N165" s="150">
        <f t="shared" ca="1" si="84"/>
        <v>0</v>
      </c>
      <c r="O165" s="150">
        <f t="shared" ref="O165:O173" ca="1" si="85">IF(L165&gt;0,N165*100/L165,0)</f>
        <v>0</v>
      </c>
      <c r="P165" s="150">
        <f t="shared" ref="P165:P173" ca="1" si="86">IF(M165&gt;0,N165*100/M165,0)</f>
        <v>0</v>
      </c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8.75" hidden="1">
      <c r="A166" s="152"/>
      <c r="B166" s="39"/>
      <c r="C166" s="39"/>
      <c r="D166" s="39"/>
      <c r="E166" s="218" t="s">
        <v>18</v>
      </c>
      <c r="F166" s="39"/>
      <c r="G166" s="153"/>
      <c r="H166" s="154" t="s">
        <v>12</v>
      </c>
      <c r="I166" s="609"/>
      <c r="J166" s="609"/>
      <c r="K166" s="90"/>
      <c r="L166" s="90">
        <f t="shared" ref="L166:N167" si="87">L169+L172</f>
        <v>0</v>
      </c>
      <c r="M166" s="90">
        <f t="shared" si="87"/>
        <v>0</v>
      </c>
      <c r="N166" s="90">
        <f t="shared" si="87"/>
        <v>0</v>
      </c>
      <c r="O166" s="90">
        <f t="shared" si="85"/>
        <v>0</v>
      </c>
      <c r="P166" s="90">
        <f t="shared" si="86"/>
        <v>0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hidden="1">
      <c r="A167" s="152"/>
      <c r="B167" s="39"/>
      <c r="C167" s="39"/>
      <c r="D167" s="39"/>
      <c r="E167" s="218" t="s">
        <v>19</v>
      </c>
      <c r="F167" s="39"/>
      <c r="G167" s="153"/>
      <c r="H167" s="154" t="s">
        <v>12</v>
      </c>
      <c r="I167" s="609"/>
      <c r="J167" s="609"/>
      <c r="K167" s="90"/>
      <c r="L167" s="90">
        <f t="shared" ca="1" si="87"/>
        <v>0</v>
      </c>
      <c r="M167" s="90">
        <f t="shared" ca="1" si="87"/>
        <v>0</v>
      </c>
      <c r="N167" s="90">
        <f t="shared" ca="1" si="87"/>
        <v>0</v>
      </c>
      <c r="O167" s="90">
        <f t="shared" ca="1" si="85"/>
        <v>0</v>
      </c>
      <c r="P167" s="90">
        <f t="shared" ca="1" si="86"/>
        <v>0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 hidden="1">
      <c r="A168" s="155"/>
      <c r="B168" s="32"/>
      <c r="C168" s="276"/>
      <c r="D168" s="33" t="s">
        <v>20</v>
      </c>
      <c r="E168" s="32"/>
      <c r="F168" s="32"/>
      <c r="G168" s="34"/>
      <c r="H168" s="157" t="s">
        <v>12</v>
      </c>
      <c r="I168" s="180"/>
      <c r="J168" s="180"/>
      <c r="K168" s="159"/>
      <c r="L168" s="495">
        <f t="shared" ref="L168:N168" ca="1" si="88">L169+L170</f>
        <v>0</v>
      </c>
      <c r="M168" s="495">
        <f t="shared" ca="1" si="88"/>
        <v>0</v>
      </c>
      <c r="N168" s="495">
        <f t="shared" ca="1" si="88"/>
        <v>0</v>
      </c>
      <c r="O168" s="495">
        <f t="shared" ca="1" si="85"/>
        <v>0</v>
      </c>
      <c r="P168" s="495">
        <f t="shared" ca="1" si="86"/>
        <v>0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9.5" hidden="1">
      <c r="A169" s="152"/>
      <c r="B169" s="39"/>
      <c r="C169" s="160"/>
      <c r="D169" s="39"/>
      <c r="E169" s="218" t="s">
        <v>36</v>
      </c>
      <c r="F169" s="39"/>
      <c r="G169" s="153"/>
      <c r="H169" s="161" t="s">
        <v>12</v>
      </c>
      <c r="I169" s="162"/>
      <c r="J169" s="162"/>
      <c r="K169" s="163"/>
      <c r="L169" s="90">
        <v>0</v>
      </c>
      <c r="M169" s="90">
        <v>0</v>
      </c>
      <c r="N169" s="90">
        <v>0</v>
      </c>
      <c r="O169" s="90">
        <f t="shared" si="85"/>
        <v>0</v>
      </c>
      <c r="P169" s="90">
        <f t="shared" si="86"/>
        <v>0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9.5" hidden="1">
      <c r="A170" s="152"/>
      <c r="B170" s="39"/>
      <c r="C170" s="160"/>
      <c r="D170" s="39"/>
      <c r="E170" s="218" t="s">
        <v>37</v>
      </c>
      <c r="F170" s="39"/>
      <c r="G170" s="153"/>
      <c r="H170" s="161" t="s">
        <v>12</v>
      </c>
      <c r="I170" s="162"/>
      <c r="J170" s="162"/>
      <c r="K170" s="163"/>
      <c r="L170" s="90">
        <f ca="1">IFERROR(__xludf.DUMMYFUNCTION("IMPORTRANGE(""https://docs.google.com/spreadsheets/d/1MeEWN-I1oV_STSDYn1IFDPWt_1FKiwhDph83XaGc0o0/edit?usp=sharing"",""งบพรบ!CE73"")"),0)</f>
        <v>0</v>
      </c>
      <c r="M170" s="90">
        <f ca="1">IFERROR(__xludf.DUMMYFUNCTION("IMPORTRANGE(""https://docs.google.com/spreadsheets/d/1MeEWN-I1oV_STSDYn1IFDPWt_1FKiwhDph83XaGc0o0/edit?usp=sharing"",""งบพรบ!CJ73"")"),0)</f>
        <v>0</v>
      </c>
      <c r="N170" s="90">
        <f ca="1">IFERROR(__xludf.DUMMYFUNCTION("IMPORTRANGE(""https://docs.google.com/spreadsheets/d/1MeEWN-I1oV_STSDYn1IFDPWt_1FKiwhDph83XaGc0o0/edit?usp=sharing"",""งบพรบ!CL73"")"),0)</f>
        <v>0</v>
      </c>
      <c r="O170" s="90">
        <f t="shared" ca="1" si="85"/>
        <v>0</v>
      </c>
      <c r="P170" s="90">
        <f t="shared" ca="1" si="86"/>
        <v>0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 hidden="1">
      <c r="A171" s="155"/>
      <c r="B171" s="32"/>
      <c r="C171" s="276"/>
      <c r="D171" s="33" t="s">
        <v>21</v>
      </c>
      <c r="E171" s="32"/>
      <c r="F171" s="32"/>
      <c r="G171" s="34"/>
      <c r="H171" s="164" t="s">
        <v>12</v>
      </c>
      <c r="I171" s="180"/>
      <c r="J171" s="180"/>
      <c r="K171" s="159"/>
      <c r="L171" s="495">
        <f t="shared" ref="L171:N171" ca="1" si="89">L172+L173</f>
        <v>0</v>
      </c>
      <c r="M171" s="495">
        <f t="shared" ca="1" si="89"/>
        <v>0</v>
      </c>
      <c r="N171" s="495">
        <f t="shared" ca="1" si="89"/>
        <v>0</v>
      </c>
      <c r="O171" s="495">
        <f t="shared" ca="1" si="85"/>
        <v>0</v>
      </c>
      <c r="P171" s="495">
        <f t="shared" ca="1" si="86"/>
        <v>0</v>
      </c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9.5" hidden="1">
      <c r="A172" s="152"/>
      <c r="B172" s="39"/>
      <c r="C172" s="160"/>
      <c r="D172" s="39"/>
      <c r="E172" s="218" t="s">
        <v>18</v>
      </c>
      <c r="F172" s="39"/>
      <c r="G172" s="153"/>
      <c r="H172" s="161" t="s">
        <v>12</v>
      </c>
      <c r="I172" s="162"/>
      <c r="J172" s="162"/>
      <c r="K172" s="163"/>
      <c r="L172" s="90">
        <v>0</v>
      </c>
      <c r="M172" s="90">
        <v>0</v>
      </c>
      <c r="N172" s="90">
        <v>0</v>
      </c>
      <c r="O172" s="90">
        <f t="shared" si="85"/>
        <v>0</v>
      </c>
      <c r="P172" s="90">
        <f t="shared" si="86"/>
        <v>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9.5" hidden="1">
      <c r="A173" s="152"/>
      <c r="B173" s="39"/>
      <c r="C173" s="160"/>
      <c r="D173" s="39"/>
      <c r="E173" s="218" t="s">
        <v>19</v>
      </c>
      <c r="F173" s="39"/>
      <c r="G173" s="153"/>
      <c r="H173" s="165" t="s">
        <v>12</v>
      </c>
      <c r="I173" s="162"/>
      <c r="J173" s="162"/>
      <c r="K173" s="163"/>
      <c r="L173" s="90">
        <f ca="1">IFERROR(__xludf.DUMMYFUNCTION("IMPORTRANGE(""https://docs.google.com/spreadsheets/d/1MeEWN-I1oV_STSDYn1IFDPWt_1FKiwhDph83XaGc0o0/edit?usp=sharing"",""งบพรบ!CH73"")"),0)</f>
        <v>0</v>
      </c>
      <c r="M173" s="90">
        <f ca="1">IFERROR(__xludf.DUMMYFUNCTION("IMPORTRANGE(""https://docs.google.com/spreadsheets/d/1MeEWN-I1oV_STSDYn1IFDPWt_1FKiwhDph83XaGc0o0/edit?usp=sharing"",""งบพรบ!CK73"")"),0)</f>
        <v>0</v>
      </c>
      <c r="N173" s="90">
        <f ca="1">IFERROR(__xludf.DUMMYFUNCTION("IMPORTRANGE(""https://docs.google.com/spreadsheets/d/1MeEWN-I1oV_STSDYn1IFDPWt_1FKiwhDph83XaGc0o0/edit?usp=sharing"",""งบพรบ!CM73"")"),0)</f>
        <v>0</v>
      </c>
      <c r="O173" s="90">
        <f t="shared" ca="1" si="85"/>
        <v>0</v>
      </c>
      <c r="P173" s="90">
        <f t="shared" ca="1" si="86"/>
        <v>0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9.5" hidden="1">
      <c r="A174" s="250"/>
      <c r="B174" s="251"/>
      <c r="C174" s="252" t="s">
        <v>84</v>
      </c>
      <c r="D174" s="251"/>
      <c r="E174" s="251"/>
      <c r="F174" s="251"/>
      <c r="G174" s="253"/>
      <c r="H174" s="254" t="s">
        <v>35</v>
      </c>
      <c r="I174" s="255">
        <f t="shared" ref="I174:J174" ca="1" si="90">I176</f>
        <v>0</v>
      </c>
      <c r="J174" s="255">
        <f t="shared" si="90"/>
        <v>0</v>
      </c>
      <c r="K174" s="256">
        <f ca="1">IF(I174&gt;0,J174*100/I174,0)</f>
        <v>0</v>
      </c>
      <c r="L174" s="256"/>
      <c r="M174" s="256"/>
      <c r="N174" s="256"/>
      <c r="O174" s="256"/>
      <c r="P174" s="256"/>
    </row>
    <row r="175" spans="1:26" ht="19.5" hidden="1">
      <c r="A175" s="166"/>
      <c r="B175" s="167"/>
      <c r="C175" s="160" t="s">
        <v>16</v>
      </c>
      <c r="D175" s="826" t="s">
        <v>38</v>
      </c>
      <c r="E175" s="169"/>
      <c r="F175" s="169"/>
      <c r="G175" s="170"/>
      <c r="H175" s="752"/>
      <c r="I175" s="180"/>
      <c r="J175" s="180"/>
      <c r="K175" s="159"/>
      <c r="L175" s="159"/>
      <c r="M175" s="159"/>
      <c r="N175" s="159"/>
      <c r="O175" s="159"/>
      <c r="P175" s="159"/>
    </row>
    <row r="176" spans="1:26" ht="18.75" hidden="1">
      <c r="A176" s="166"/>
      <c r="B176" s="167"/>
      <c r="C176" s="167"/>
      <c r="D176" s="736" t="s">
        <v>85</v>
      </c>
      <c r="E176" s="174"/>
      <c r="F176" s="174"/>
      <c r="G176" s="175"/>
      <c r="H176" s="615" t="s">
        <v>35</v>
      </c>
      <c r="I176" s="264">
        <f ca="1">IFERROR(__xludf.DUMMYFUNCTION("IMPORTRANGE(""https://docs.google.com/spreadsheets/d/1QqKyyYR6Q21VydFLVH3TRQUabQu_ym0Zz7PgGX0-kHA/edit?usp=sharing"",""แผน!Y73"")"),0)</f>
        <v>0</v>
      </c>
      <c r="J176" s="210">
        <v>0</v>
      </c>
      <c r="K176" s="159">
        <f ca="1">IF(I176&gt;0,J176*100/I176,0)</f>
        <v>0</v>
      </c>
      <c r="L176" s="159"/>
      <c r="M176" s="159"/>
      <c r="N176" s="159"/>
      <c r="O176" s="159"/>
      <c r="P176" s="159"/>
    </row>
    <row r="177" spans="1:26" ht="19.5" hidden="1">
      <c r="A177" s="250"/>
      <c r="B177" s="258"/>
      <c r="C177" s="259" t="s">
        <v>86</v>
      </c>
      <c r="D177" s="258"/>
      <c r="E177" s="251"/>
      <c r="F177" s="251"/>
      <c r="G177" s="253"/>
      <c r="H177" s="260" t="s">
        <v>35</v>
      </c>
      <c r="I177" s="255"/>
      <c r="J177" s="255">
        <f>J179</f>
        <v>0</v>
      </c>
      <c r="K177" s="256"/>
      <c r="L177" s="256"/>
      <c r="M177" s="256"/>
      <c r="N177" s="256"/>
      <c r="O177" s="256"/>
      <c r="P177" s="256"/>
    </row>
    <row r="178" spans="1:26" ht="19.5" hidden="1">
      <c r="A178" s="166"/>
      <c r="B178" s="167"/>
      <c r="C178" s="160" t="s">
        <v>16</v>
      </c>
      <c r="D178" s="261" t="s">
        <v>38</v>
      </c>
      <c r="E178" s="169"/>
      <c r="F178" s="169"/>
      <c r="G178" s="170"/>
      <c r="H178" s="752"/>
      <c r="I178" s="180"/>
      <c r="J178" s="180"/>
      <c r="K178" s="159"/>
      <c r="L178" s="159"/>
      <c r="M178" s="159"/>
      <c r="N178" s="159"/>
      <c r="O178" s="159"/>
      <c r="P178" s="159"/>
    </row>
    <row r="179" spans="1:26" ht="18.75" hidden="1">
      <c r="A179" s="166"/>
      <c r="B179" s="167"/>
      <c r="C179" s="167"/>
      <c r="D179" s="369" t="s">
        <v>87</v>
      </c>
      <c r="E179" s="174"/>
      <c r="F179" s="362"/>
      <c r="G179" s="175"/>
      <c r="H179" s="42" t="s">
        <v>35</v>
      </c>
      <c r="I179" s="264"/>
      <c r="J179" s="264"/>
      <c r="K179" s="159"/>
      <c r="L179" s="159"/>
      <c r="M179" s="159"/>
      <c r="N179" s="159"/>
      <c r="O179" s="159"/>
      <c r="P179" s="159"/>
    </row>
    <row r="180" spans="1:26" ht="19.5">
      <c r="A180" s="244"/>
      <c r="B180" s="245" t="s">
        <v>88</v>
      </c>
      <c r="C180" s="246"/>
      <c r="D180" s="169"/>
      <c r="E180" s="169"/>
      <c r="F180" s="169"/>
      <c r="G180" s="170"/>
      <c r="H180" s="247" t="s">
        <v>35</v>
      </c>
      <c r="I180" s="248"/>
      <c r="J180" s="248">
        <f>J225+J226</f>
        <v>0</v>
      </c>
      <c r="K180" s="249">
        <f>IF(I180&gt;0,J180*100/I180,0)</f>
        <v>0</v>
      </c>
      <c r="L180" s="249"/>
      <c r="M180" s="249"/>
      <c r="N180" s="249"/>
      <c r="O180" s="249"/>
      <c r="P180" s="249"/>
    </row>
    <row r="181" spans="1:26" ht="19.5">
      <c r="A181" s="143"/>
      <c r="B181" s="144"/>
      <c r="C181" s="145" t="s">
        <v>16</v>
      </c>
      <c r="D181" s="825" t="s">
        <v>17</v>
      </c>
      <c r="E181" s="144"/>
      <c r="F181" s="144"/>
      <c r="G181" s="147"/>
      <c r="H181" s="148" t="s">
        <v>12</v>
      </c>
      <c r="I181" s="418"/>
      <c r="J181" s="418"/>
      <c r="K181" s="150"/>
      <c r="L181" s="150">
        <f t="shared" ref="L181:N181" ca="1" si="91">L182+L183</f>
        <v>11900</v>
      </c>
      <c r="M181" s="150">
        <f t="shared" ca="1" si="91"/>
        <v>3000</v>
      </c>
      <c r="N181" s="150">
        <f t="shared" ca="1" si="91"/>
        <v>0</v>
      </c>
      <c r="O181" s="150">
        <f t="shared" ref="O181:O189" ca="1" si="92">IF(L181&gt;0,N181*100/L181,0)</f>
        <v>0</v>
      </c>
      <c r="P181" s="150">
        <f t="shared" ref="P181:P189" ca="1" si="93">IF(M181&gt;0,N181*100/M181,0)</f>
        <v>0</v>
      </c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8.75" hidden="1">
      <c r="A182" s="152"/>
      <c r="B182" s="39"/>
      <c r="C182" s="39"/>
      <c r="D182" s="39"/>
      <c r="E182" s="218" t="s">
        <v>18</v>
      </c>
      <c r="F182" s="39"/>
      <c r="G182" s="153"/>
      <c r="H182" s="154" t="s">
        <v>12</v>
      </c>
      <c r="I182" s="609"/>
      <c r="J182" s="609"/>
      <c r="K182" s="90"/>
      <c r="L182" s="90">
        <f t="shared" ref="L182:N183" si="94">L185+L188</f>
        <v>0</v>
      </c>
      <c r="M182" s="90">
        <f t="shared" si="94"/>
        <v>0</v>
      </c>
      <c r="N182" s="90">
        <f t="shared" si="94"/>
        <v>0</v>
      </c>
      <c r="O182" s="90">
        <f t="shared" si="92"/>
        <v>0</v>
      </c>
      <c r="P182" s="90">
        <f t="shared" si="93"/>
        <v>0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hidden="1">
      <c r="A183" s="152"/>
      <c r="B183" s="39"/>
      <c r="C183" s="39"/>
      <c r="D183" s="39"/>
      <c r="E183" s="218" t="s">
        <v>19</v>
      </c>
      <c r="F183" s="39"/>
      <c r="G183" s="153"/>
      <c r="H183" s="154" t="s">
        <v>12</v>
      </c>
      <c r="I183" s="609"/>
      <c r="J183" s="609"/>
      <c r="K183" s="90"/>
      <c r="L183" s="90">
        <f t="shared" ca="1" si="94"/>
        <v>11900</v>
      </c>
      <c r="M183" s="90">
        <f t="shared" ca="1" si="94"/>
        <v>3000</v>
      </c>
      <c r="N183" s="90">
        <f t="shared" ca="1" si="94"/>
        <v>0</v>
      </c>
      <c r="O183" s="90">
        <f t="shared" ca="1" si="92"/>
        <v>0</v>
      </c>
      <c r="P183" s="90">
        <f t="shared" ca="1" si="93"/>
        <v>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>
      <c r="A184" s="155"/>
      <c r="B184" s="32"/>
      <c r="C184" s="276"/>
      <c r="D184" s="33" t="s">
        <v>20</v>
      </c>
      <c r="E184" s="32"/>
      <c r="F184" s="32"/>
      <c r="G184" s="34"/>
      <c r="H184" s="157" t="s">
        <v>12</v>
      </c>
      <c r="I184" s="180"/>
      <c r="J184" s="180"/>
      <c r="K184" s="159"/>
      <c r="L184" s="495">
        <f t="shared" ref="L184:N184" ca="1" si="95">L185+L186</f>
        <v>11900</v>
      </c>
      <c r="M184" s="495">
        <f t="shared" ca="1" si="95"/>
        <v>3000</v>
      </c>
      <c r="N184" s="495">
        <f t="shared" ca="1" si="95"/>
        <v>0</v>
      </c>
      <c r="O184" s="495">
        <f t="shared" ca="1" si="92"/>
        <v>0</v>
      </c>
      <c r="P184" s="495">
        <f t="shared" ca="1" si="93"/>
        <v>0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9.5" hidden="1">
      <c r="A185" s="152"/>
      <c r="B185" s="39"/>
      <c r="C185" s="160"/>
      <c r="D185" s="39"/>
      <c r="E185" s="218" t="s">
        <v>36</v>
      </c>
      <c r="F185" s="39"/>
      <c r="G185" s="153"/>
      <c r="H185" s="161" t="s">
        <v>12</v>
      </c>
      <c r="I185" s="162"/>
      <c r="J185" s="162"/>
      <c r="K185" s="163"/>
      <c r="L185" s="90">
        <v>0</v>
      </c>
      <c r="M185" s="90">
        <v>0</v>
      </c>
      <c r="N185" s="90">
        <v>0</v>
      </c>
      <c r="O185" s="90">
        <f t="shared" si="92"/>
        <v>0</v>
      </c>
      <c r="P185" s="90">
        <f t="shared" si="93"/>
        <v>0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9.5" hidden="1">
      <c r="A186" s="152"/>
      <c r="B186" s="39"/>
      <c r="C186" s="160"/>
      <c r="D186" s="39"/>
      <c r="E186" s="218" t="s">
        <v>37</v>
      </c>
      <c r="F186" s="39"/>
      <c r="G186" s="153"/>
      <c r="H186" s="161" t="s">
        <v>12</v>
      </c>
      <c r="I186" s="162"/>
      <c r="J186" s="162"/>
      <c r="K186" s="163"/>
      <c r="L186" s="90">
        <f ca="1">IFERROR(__xludf.DUMMYFUNCTION("IMPORTRANGE(""https://docs.google.com/spreadsheets/d/1MeEWN-I1oV_STSDYn1IFDPWt_1FKiwhDph83XaGc0o0/edit?usp=sharing"",""งบพรบ!CO73"")"),11900)</f>
        <v>11900</v>
      </c>
      <c r="M186" s="90">
        <f ca="1">IFERROR(__xludf.DUMMYFUNCTION("IMPORTRANGE(""https://docs.google.com/spreadsheets/d/1MeEWN-I1oV_STSDYn1IFDPWt_1FKiwhDph83XaGc0o0/edit?usp=sharing"",""งบพรบ!CT73"")"),3000)</f>
        <v>3000</v>
      </c>
      <c r="N186" s="90">
        <f ca="1">IFERROR(__xludf.DUMMYFUNCTION("IMPORTRANGE(""https://docs.google.com/spreadsheets/d/1MeEWN-I1oV_STSDYn1IFDPWt_1FKiwhDph83XaGc0o0/edit?usp=sharing"",""งบพรบ!CV73"")"),0)</f>
        <v>0</v>
      </c>
      <c r="O186" s="90">
        <f t="shared" ca="1" si="92"/>
        <v>0</v>
      </c>
      <c r="P186" s="90">
        <f t="shared" ca="1" si="93"/>
        <v>0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>
      <c r="A187" s="155"/>
      <c r="B187" s="32"/>
      <c r="C187" s="276"/>
      <c r="D187" s="33" t="s">
        <v>21</v>
      </c>
      <c r="E187" s="32"/>
      <c r="F187" s="32"/>
      <c r="G187" s="34"/>
      <c r="H187" s="164" t="s">
        <v>12</v>
      </c>
      <c r="I187" s="180"/>
      <c r="J187" s="180"/>
      <c r="K187" s="159"/>
      <c r="L187" s="495">
        <f t="shared" ref="L187:N187" ca="1" si="96">L188+L189</f>
        <v>0</v>
      </c>
      <c r="M187" s="495">
        <f t="shared" ca="1" si="96"/>
        <v>0</v>
      </c>
      <c r="N187" s="495">
        <f t="shared" ca="1" si="96"/>
        <v>0</v>
      </c>
      <c r="O187" s="495">
        <f t="shared" ca="1" si="92"/>
        <v>0</v>
      </c>
      <c r="P187" s="495">
        <f t="shared" ca="1" si="93"/>
        <v>0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9.5" hidden="1">
      <c r="A188" s="152"/>
      <c r="B188" s="39"/>
      <c r="C188" s="160"/>
      <c r="D188" s="39"/>
      <c r="E188" s="218" t="s">
        <v>18</v>
      </c>
      <c r="F188" s="39"/>
      <c r="G188" s="153"/>
      <c r="H188" s="161" t="s">
        <v>12</v>
      </c>
      <c r="I188" s="162"/>
      <c r="J188" s="162"/>
      <c r="K188" s="163"/>
      <c r="L188" s="90">
        <v>0</v>
      </c>
      <c r="M188" s="90">
        <v>0</v>
      </c>
      <c r="N188" s="90">
        <v>0</v>
      </c>
      <c r="O188" s="90">
        <f t="shared" si="92"/>
        <v>0</v>
      </c>
      <c r="P188" s="90">
        <f t="shared" si="93"/>
        <v>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9.5" hidden="1">
      <c r="A189" s="152"/>
      <c r="B189" s="39"/>
      <c r="C189" s="160"/>
      <c r="D189" s="39"/>
      <c r="E189" s="218" t="s">
        <v>19</v>
      </c>
      <c r="F189" s="39"/>
      <c r="G189" s="153"/>
      <c r="H189" s="165" t="s">
        <v>12</v>
      </c>
      <c r="I189" s="162"/>
      <c r="J189" s="162"/>
      <c r="K189" s="163"/>
      <c r="L189" s="90">
        <f ca="1">IFERROR(__xludf.DUMMYFUNCTION("IMPORTRANGE(""https://docs.google.com/spreadsheets/d/1MeEWN-I1oV_STSDYn1IFDPWt_1FKiwhDph83XaGc0o0/edit?usp=sharing"",""งบพรบ!CR73"")"),0)</f>
        <v>0</v>
      </c>
      <c r="M189" s="90">
        <f ca="1">IFERROR(__xludf.DUMMYFUNCTION("IMPORTRANGE(""https://docs.google.com/spreadsheets/d/1MeEWN-I1oV_STSDYn1IFDPWt_1FKiwhDph83XaGc0o0/edit?usp=sharing"",""งบพรบ!CU73"")"),0)</f>
        <v>0</v>
      </c>
      <c r="N189" s="90">
        <f ca="1">IFERROR(__xludf.DUMMYFUNCTION("IMPORTRANGE(""https://docs.google.com/spreadsheets/d/1MeEWN-I1oV_STSDYn1IFDPWt_1FKiwhDph83XaGc0o0/edit?usp=sharing"",""งบพรบ!CW73"")"),0)</f>
        <v>0</v>
      </c>
      <c r="O189" s="90">
        <f t="shared" ca="1" si="92"/>
        <v>0</v>
      </c>
      <c r="P189" s="90">
        <f t="shared" ca="1" si="93"/>
        <v>0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9.5">
      <c r="A190" s="250"/>
      <c r="B190" s="258"/>
      <c r="C190" s="265" t="s">
        <v>89</v>
      </c>
      <c r="D190" s="251"/>
      <c r="E190" s="251"/>
      <c r="F190" s="251"/>
      <c r="G190" s="253"/>
      <c r="H190" s="254" t="s">
        <v>90</v>
      </c>
      <c r="I190" s="266">
        <f t="shared" ref="I190:J190" ca="1" si="97">I193</f>
        <v>4</v>
      </c>
      <c r="J190" s="266">
        <f t="shared" si="97"/>
        <v>0</v>
      </c>
      <c r="K190" s="267">
        <f ca="1">IF(I190&gt;0,J190*100/I190,0)</f>
        <v>0</v>
      </c>
      <c r="L190" s="256"/>
      <c r="M190" s="256"/>
      <c r="N190" s="256"/>
      <c r="O190" s="256"/>
      <c r="P190" s="256"/>
    </row>
    <row r="191" spans="1:26" ht="19.5">
      <c r="A191" s="143"/>
      <c r="B191" s="144"/>
      <c r="C191" s="145" t="s">
        <v>16</v>
      </c>
      <c r="D191" s="829" t="s">
        <v>17</v>
      </c>
      <c r="E191" s="144"/>
      <c r="F191" s="144"/>
      <c r="G191" s="147"/>
      <c r="H191" s="269" t="s">
        <v>12</v>
      </c>
      <c r="I191" s="418"/>
      <c r="J191" s="418"/>
      <c r="K191" s="150"/>
      <c r="L191" s="151">
        <f ca="1">IFERROR(__xludf.DUMMYFUNCTION("IMPORTRANGE(""https://docs.google.com/spreadsheets/d/1QqKyyYR6Q21VydFLVH3TRQUabQu_ym0Zz7PgGX0-kHA/edit?usp=sharing"",""แผน!Z73"")"),6000)</f>
        <v>6000</v>
      </c>
      <c r="M191" s="151"/>
      <c r="N191" s="270">
        <v>0</v>
      </c>
      <c r="O191" s="151">
        <f ca="1">IF(L191&gt;0,N191*100/L191,0)</f>
        <v>0</v>
      </c>
      <c r="P191" s="151">
        <f>IF(M191&gt;0,N191*100/M191,0)</f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9.5">
      <c r="A192" s="166"/>
      <c r="B192" s="167"/>
      <c r="C192" s="206" t="s">
        <v>16</v>
      </c>
      <c r="D192" s="826" t="s">
        <v>38</v>
      </c>
      <c r="E192" s="169"/>
      <c r="F192" s="169"/>
      <c r="G192" s="170"/>
      <c r="H192" s="752"/>
      <c r="I192" s="264"/>
      <c r="J192" s="264"/>
      <c r="K192" s="495"/>
      <c r="L192" s="495"/>
      <c r="M192" s="495"/>
      <c r="N192" s="495"/>
      <c r="O192" s="495"/>
      <c r="P192" s="495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8.75">
      <c r="A193" s="166"/>
      <c r="B193" s="167"/>
      <c r="C193" s="167"/>
      <c r="D193" s="445" t="s">
        <v>91</v>
      </c>
      <c r="E193" s="174"/>
      <c r="F193" s="174"/>
      <c r="G193" s="175"/>
      <c r="H193" s="754" t="s">
        <v>90</v>
      </c>
      <c r="I193" s="264">
        <f ca="1">IFERROR(__xludf.DUMMYFUNCTION("IMPORTRANGE(""https://docs.google.com/spreadsheets/d/1QqKyyYR6Q21VydFLVH3TRQUabQu_ym0Zz7PgGX0-kHA/edit?usp=sharing"",""แผน!AC73"")"),4)</f>
        <v>4</v>
      </c>
      <c r="J193" s="210">
        <v>0</v>
      </c>
      <c r="K193" s="495">
        <f ca="1">IF(I193&gt;0,J193*100/I193,0)</f>
        <v>0</v>
      </c>
      <c r="L193" s="495"/>
      <c r="M193" s="495"/>
      <c r="N193" s="495"/>
      <c r="O193" s="495"/>
      <c r="P193" s="495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8.75">
      <c r="A194" s="166"/>
      <c r="B194" s="167"/>
      <c r="C194" s="167"/>
      <c r="D194" s="445" t="s">
        <v>92</v>
      </c>
      <c r="E194" s="174"/>
      <c r="F194" s="174"/>
      <c r="G194" s="175"/>
      <c r="H194" s="271" t="s">
        <v>35</v>
      </c>
      <c r="I194" s="264"/>
      <c r="J194" s="264">
        <f>J195+J196</f>
        <v>0</v>
      </c>
      <c r="K194" s="495"/>
      <c r="L194" s="495"/>
      <c r="M194" s="495"/>
      <c r="N194" s="495"/>
      <c r="O194" s="495"/>
      <c r="P194" s="495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8.75">
      <c r="A195" s="166"/>
      <c r="B195" s="167"/>
      <c r="C195" s="167"/>
      <c r="D195" s="167"/>
      <c r="E195" s="445" t="s">
        <v>93</v>
      </c>
      <c r="F195" s="174"/>
      <c r="G195" s="175"/>
      <c r="H195" s="271" t="s">
        <v>35</v>
      </c>
      <c r="I195" s="264"/>
      <c r="J195" s="210">
        <v>0</v>
      </c>
      <c r="K195" s="495"/>
      <c r="L195" s="495"/>
      <c r="M195" s="495"/>
      <c r="N195" s="495"/>
      <c r="O195" s="495"/>
      <c r="P195" s="495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8.75">
      <c r="A196" s="166"/>
      <c r="B196" s="167"/>
      <c r="C196" s="167"/>
      <c r="D196" s="167"/>
      <c r="E196" s="445" t="s">
        <v>94</v>
      </c>
      <c r="F196" s="174"/>
      <c r="G196" s="175"/>
      <c r="H196" s="271" t="s">
        <v>35</v>
      </c>
      <c r="I196" s="264"/>
      <c r="J196" s="210">
        <v>0</v>
      </c>
      <c r="K196" s="495"/>
      <c r="L196" s="495"/>
      <c r="M196" s="495"/>
      <c r="N196" s="495"/>
      <c r="O196" s="495"/>
      <c r="P196" s="495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9.5" hidden="1">
      <c r="A197" s="250"/>
      <c r="B197" s="258"/>
      <c r="C197" s="265" t="s">
        <v>95</v>
      </c>
      <c r="D197" s="251"/>
      <c r="E197" s="251"/>
      <c r="F197" s="251"/>
      <c r="G197" s="253"/>
      <c r="H197" s="272" t="s">
        <v>96</v>
      </c>
      <c r="I197" s="266">
        <f t="shared" ref="I197:J197" ca="1" si="98">I204</f>
        <v>0</v>
      </c>
      <c r="J197" s="266">
        <f t="shared" si="98"/>
        <v>0</v>
      </c>
      <c r="K197" s="267">
        <f ca="1">IF(I197&gt;0,J197*100/I197,0)</f>
        <v>0</v>
      </c>
      <c r="L197" s="256"/>
      <c r="M197" s="256"/>
      <c r="N197" s="256"/>
      <c r="O197" s="256"/>
      <c r="P197" s="256"/>
    </row>
    <row r="198" spans="1:26" ht="19.5" hidden="1">
      <c r="A198" s="143"/>
      <c r="B198" s="144"/>
      <c r="C198" s="145" t="s">
        <v>16</v>
      </c>
      <c r="D198" s="829" t="s">
        <v>17</v>
      </c>
      <c r="E198" s="144"/>
      <c r="F198" s="144"/>
      <c r="G198" s="147"/>
      <c r="H198" s="269" t="s">
        <v>12</v>
      </c>
      <c r="I198" s="417"/>
      <c r="J198" s="417"/>
      <c r="K198" s="274"/>
      <c r="L198" s="151">
        <f ca="1">L199+L200+L201+L202</f>
        <v>0</v>
      </c>
      <c r="M198" s="151"/>
      <c r="N198" s="151">
        <f>N199+N200+N201+N202</f>
        <v>0</v>
      </c>
      <c r="O198" s="151">
        <f ca="1">IF(L198&gt;0,N198*100/L198,0)</f>
        <v>0</v>
      </c>
      <c r="P198" s="151">
        <f>IF(M198&gt;0,N198*100/M198,0)</f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8.75" hidden="1">
      <c r="A199" s="155"/>
      <c r="B199" s="275"/>
      <c r="C199" s="32"/>
      <c r="D199" s="276" t="s">
        <v>97</v>
      </c>
      <c r="E199" s="32"/>
      <c r="F199" s="32"/>
      <c r="G199" s="34"/>
      <c r="H199" s="157" t="s">
        <v>12</v>
      </c>
      <c r="I199" s="180"/>
      <c r="J199" s="180"/>
      <c r="K199" s="159"/>
      <c r="L199" s="495">
        <f ca="1">IFERROR(__xludf.DUMMYFUNCTION("IMPORTRANGE(""https://docs.google.com/spreadsheets/d/1QqKyyYR6Q21VydFLVH3TRQUabQu_ym0Zz7PgGX0-kHA/edit?usp=sharing"",""แผน!AE73"")"),0)</f>
        <v>0</v>
      </c>
      <c r="M199" s="495"/>
      <c r="N199" s="816">
        <v>0</v>
      </c>
      <c r="O199" s="495"/>
      <c r="P199" s="495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9.5" hidden="1">
      <c r="A200" s="279"/>
      <c r="B200" s="275"/>
      <c r="C200" s="206"/>
      <c r="D200" s="276" t="s">
        <v>98</v>
      </c>
      <c r="E200" s="32"/>
      <c r="F200" s="32"/>
      <c r="G200" s="34"/>
      <c r="H200" s="615" t="s">
        <v>12</v>
      </c>
      <c r="I200" s="264"/>
      <c r="J200" s="264"/>
      <c r="K200" s="495"/>
      <c r="L200" s="495">
        <f ca="1">IFERROR(__xludf.DUMMYFUNCTION("IMPORTRANGE(""https://docs.google.com/spreadsheets/d/1QqKyyYR6Q21VydFLVH3TRQUabQu_ym0Zz7PgGX0-kHA/edit?usp=sharing"",""แผน!AF73"")"),0)</f>
        <v>0</v>
      </c>
      <c r="M200" s="495"/>
      <c r="N200" s="816">
        <v>0</v>
      </c>
      <c r="O200" s="495"/>
      <c r="P200" s="495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</row>
    <row r="201" spans="1:26" ht="19.5" hidden="1">
      <c r="A201" s="279"/>
      <c r="B201" s="275"/>
      <c r="C201" s="206"/>
      <c r="D201" s="276" t="s">
        <v>99</v>
      </c>
      <c r="E201" s="32"/>
      <c r="F201" s="32"/>
      <c r="G201" s="34"/>
      <c r="H201" s="615" t="s">
        <v>12</v>
      </c>
      <c r="I201" s="264"/>
      <c r="J201" s="264"/>
      <c r="K201" s="495"/>
      <c r="L201" s="495">
        <f ca="1">IFERROR(__xludf.DUMMYFUNCTION("IMPORTRANGE(""https://docs.google.com/spreadsheets/d/1QqKyyYR6Q21VydFLVH3TRQUabQu_ym0Zz7PgGX0-kHA/edit?usp=sharing"",""แผน!AG73"")"),0)</f>
        <v>0</v>
      </c>
      <c r="M201" s="495"/>
      <c r="N201" s="816">
        <v>0</v>
      </c>
      <c r="O201" s="495"/>
      <c r="P201" s="495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</row>
    <row r="202" spans="1:26" ht="19.5" hidden="1">
      <c r="A202" s="279"/>
      <c r="B202" s="275"/>
      <c r="C202" s="206"/>
      <c r="D202" s="276" t="s">
        <v>100</v>
      </c>
      <c r="E202" s="32"/>
      <c r="F202" s="32"/>
      <c r="G202" s="34"/>
      <c r="H202" s="615" t="s">
        <v>12</v>
      </c>
      <c r="I202" s="264"/>
      <c r="J202" s="264"/>
      <c r="K202" s="495"/>
      <c r="L202" s="495">
        <f ca="1">IFERROR(__xludf.DUMMYFUNCTION("IMPORTRANGE(""https://docs.google.com/spreadsheets/d/1QqKyyYR6Q21VydFLVH3TRQUabQu_ym0Zz7PgGX0-kHA/edit?usp=sharing"",""แผน!AH73"")"),0)</f>
        <v>0</v>
      </c>
      <c r="M202" s="495"/>
      <c r="N202" s="816">
        <v>0</v>
      </c>
      <c r="O202" s="495"/>
      <c r="P202" s="495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</row>
    <row r="203" spans="1:26" ht="19.5" hidden="1">
      <c r="A203" s="166"/>
      <c r="B203" s="167"/>
      <c r="C203" s="206" t="s">
        <v>16</v>
      </c>
      <c r="D203" s="826" t="s">
        <v>38</v>
      </c>
      <c r="E203" s="169"/>
      <c r="F203" s="169"/>
      <c r="G203" s="170"/>
      <c r="H203" s="752"/>
      <c r="I203" s="180"/>
      <c r="J203" s="180"/>
      <c r="K203" s="159"/>
      <c r="L203" s="159"/>
      <c r="M203" s="159"/>
      <c r="N203" s="159"/>
      <c r="O203" s="159"/>
      <c r="P203" s="15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8.75" hidden="1">
      <c r="A204" s="166"/>
      <c r="B204" s="167"/>
      <c r="C204" s="167"/>
      <c r="D204" s="172" t="s">
        <v>101</v>
      </c>
      <c r="E204" s="174"/>
      <c r="F204" s="174"/>
      <c r="G204" s="175"/>
      <c r="H204" s="752" t="s">
        <v>96</v>
      </c>
      <c r="I204" s="264">
        <f ca="1">IFERROR(__xludf.DUMMYFUNCTION("IMPORTRANGE(""https://docs.google.com/spreadsheets/d/1QqKyyYR6Q21VydFLVH3TRQUabQu_ym0Zz7PgGX0-kHA/edit?usp=sharing"",""แผน!AI73"")"),0)</f>
        <v>0</v>
      </c>
      <c r="J204" s="210">
        <v>0</v>
      </c>
      <c r="K204" s="159">
        <f ca="1">IF(I204&gt;0,J204*100/I204,0)</f>
        <v>0</v>
      </c>
      <c r="L204" s="495"/>
      <c r="M204" s="495"/>
      <c r="N204" s="495"/>
      <c r="O204" s="495"/>
      <c r="P204" s="495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8.75" hidden="1">
      <c r="A205" s="166"/>
      <c r="B205" s="167"/>
      <c r="C205" s="167"/>
      <c r="D205" s="445" t="s">
        <v>59</v>
      </c>
      <c r="E205" s="174"/>
      <c r="F205" s="174"/>
      <c r="G205" s="175"/>
      <c r="H205" s="752"/>
      <c r="I205" s="264"/>
      <c r="J205" s="264"/>
      <c r="K205" s="159"/>
      <c r="L205" s="495"/>
      <c r="M205" s="495"/>
      <c r="N205" s="495"/>
      <c r="O205" s="495"/>
      <c r="P205" s="495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8.75" hidden="1">
      <c r="A206" s="166"/>
      <c r="B206" s="167"/>
      <c r="C206" s="167"/>
      <c r="D206" s="174"/>
      <c r="E206" s="445" t="s">
        <v>343</v>
      </c>
      <c r="F206" s="174"/>
      <c r="G206" s="175"/>
      <c r="H206" s="752" t="s">
        <v>96</v>
      </c>
      <c r="I206" s="264"/>
      <c r="J206" s="210">
        <v>0</v>
      </c>
      <c r="K206" s="159"/>
      <c r="L206" s="495"/>
      <c r="M206" s="495"/>
      <c r="N206" s="495"/>
      <c r="O206" s="495"/>
      <c r="P206" s="495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8.75" hidden="1">
      <c r="A207" s="166"/>
      <c r="B207" s="167"/>
      <c r="C207" s="167"/>
      <c r="D207" s="445"/>
      <c r="E207" s="445" t="s">
        <v>344</v>
      </c>
      <c r="F207" s="174"/>
      <c r="G207" s="175"/>
      <c r="H207" s="754" t="s">
        <v>69</v>
      </c>
      <c r="I207" s="264"/>
      <c r="J207" s="210">
        <v>0</v>
      </c>
      <c r="K207" s="159"/>
      <c r="L207" s="495"/>
      <c r="M207" s="495"/>
      <c r="N207" s="495"/>
      <c r="O207" s="495"/>
      <c r="P207" s="495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9.5" hidden="1">
      <c r="A208" s="250"/>
      <c r="B208" s="258"/>
      <c r="C208" s="265" t="s">
        <v>105</v>
      </c>
      <c r="D208" s="251"/>
      <c r="E208" s="251"/>
      <c r="F208" s="286"/>
      <c r="G208" s="253"/>
      <c r="H208" s="272" t="s">
        <v>96</v>
      </c>
      <c r="I208" s="266">
        <f t="shared" ref="I208:J208" ca="1" si="99">I215</f>
        <v>0</v>
      </c>
      <c r="J208" s="266">
        <f t="shared" si="99"/>
        <v>0</v>
      </c>
      <c r="K208" s="267">
        <f ca="1">IF(I208&gt;0,J208*100/I208,0)</f>
        <v>0</v>
      </c>
      <c r="L208" s="256"/>
      <c r="M208" s="256"/>
      <c r="N208" s="256"/>
      <c r="O208" s="256"/>
      <c r="P208" s="256"/>
    </row>
    <row r="209" spans="1:26" ht="19.5" hidden="1">
      <c r="A209" s="143"/>
      <c r="B209" s="144"/>
      <c r="C209" s="145" t="s">
        <v>16</v>
      </c>
      <c r="D209" s="829" t="s">
        <v>17</v>
      </c>
      <c r="E209" s="144"/>
      <c r="F209" s="144"/>
      <c r="G209" s="147"/>
      <c r="H209" s="269" t="s">
        <v>12</v>
      </c>
      <c r="I209" s="417"/>
      <c r="J209" s="417"/>
      <c r="K209" s="274"/>
      <c r="L209" s="151">
        <f ca="1">L210+L211+L212</f>
        <v>0</v>
      </c>
      <c r="M209" s="151"/>
      <c r="N209" s="151">
        <f>N210+N211+N212</f>
        <v>0</v>
      </c>
      <c r="O209" s="151">
        <f ca="1">IF(L209&gt;0,N209*100/L209,0)</f>
        <v>0</v>
      </c>
      <c r="P209" s="151">
        <f>IF(M209&gt;0,N209*100/M209,0)</f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8.75" hidden="1">
      <c r="A210" s="155"/>
      <c r="B210" s="275"/>
      <c r="C210" s="32"/>
      <c r="D210" s="276" t="s">
        <v>97</v>
      </c>
      <c r="E210" s="32"/>
      <c r="F210" s="32"/>
      <c r="G210" s="34"/>
      <c r="H210" s="157" t="s">
        <v>12</v>
      </c>
      <c r="I210" s="180"/>
      <c r="J210" s="180"/>
      <c r="K210" s="159"/>
      <c r="L210" s="495">
        <f ca="1">IFERROR(__xludf.DUMMYFUNCTION("IMPORTRANGE(""https://docs.google.com/spreadsheets/d/1QqKyyYR6Q21VydFLVH3TRQUabQu_ym0Zz7PgGX0-kHA/edit?usp=sharing"",""แผน!AK73"")"),0)</f>
        <v>0</v>
      </c>
      <c r="M210" s="495"/>
      <c r="N210" s="816">
        <v>0</v>
      </c>
      <c r="O210" s="495"/>
      <c r="P210" s="495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9.5" hidden="1">
      <c r="A211" s="279"/>
      <c r="B211" s="275"/>
      <c r="C211" s="287"/>
      <c r="D211" s="276" t="s">
        <v>99</v>
      </c>
      <c r="E211" s="32"/>
      <c r="F211" s="32"/>
      <c r="G211" s="34"/>
      <c r="H211" s="157" t="s">
        <v>12</v>
      </c>
      <c r="I211" s="264"/>
      <c r="J211" s="264"/>
      <c r="K211" s="495"/>
      <c r="L211" s="495">
        <f ca="1">IFERROR(__xludf.DUMMYFUNCTION("IMPORTRANGE(""https://docs.google.com/spreadsheets/d/1QqKyyYR6Q21VydFLVH3TRQUabQu_ym0Zz7PgGX0-kHA/edit?usp=sharing"",""แผน!AL73"")"),0)</f>
        <v>0</v>
      </c>
      <c r="M211" s="495"/>
      <c r="N211" s="816">
        <v>0</v>
      </c>
      <c r="O211" s="495"/>
      <c r="P211" s="495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</row>
    <row r="212" spans="1:26" ht="19.5" hidden="1">
      <c r="A212" s="279"/>
      <c r="B212" s="275"/>
      <c r="C212" s="287"/>
      <c r="D212" s="276" t="s">
        <v>98</v>
      </c>
      <c r="E212" s="32"/>
      <c r="F212" s="32"/>
      <c r="G212" s="34"/>
      <c r="H212" s="157" t="s">
        <v>12</v>
      </c>
      <c r="I212" s="264"/>
      <c r="J212" s="264"/>
      <c r="K212" s="495"/>
      <c r="L212" s="495">
        <f ca="1">IFERROR(__xludf.DUMMYFUNCTION("IMPORTRANGE(""https://docs.google.com/spreadsheets/d/1QqKyyYR6Q21VydFLVH3TRQUabQu_ym0Zz7PgGX0-kHA/edit?usp=sharing"",""แผน!AM73"")"),0)</f>
        <v>0</v>
      </c>
      <c r="M212" s="495"/>
      <c r="N212" s="816">
        <v>0</v>
      </c>
      <c r="O212" s="495"/>
      <c r="P212" s="495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</row>
    <row r="213" spans="1:26" ht="19.5" hidden="1">
      <c r="A213" s="166"/>
      <c r="B213" s="167"/>
      <c r="C213" s="287" t="s">
        <v>16</v>
      </c>
      <c r="D213" s="826" t="s">
        <v>38</v>
      </c>
      <c r="E213" s="169"/>
      <c r="F213" s="169"/>
      <c r="G213" s="170"/>
      <c r="H213" s="752"/>
      <c r="I213" s="180"/>
      <c r="J213" s="264"/>
      <c r="K213" s="495"/>
      <c r="L213" s="495"/>
      <c r="M213" s="495"/>
      <c r="N213" s="495"/>
      <c r="O213" s="159"/>
      <c r="P213" s="15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8.75" hidden="1">
      <c r="A214" s="166"/>
      <c r="B214" s="167"/>
      <c r="C214" s="167"/>
      <c r="D214" s="172" t="s">
        <v>106</v>
      </c>
      <c r="E214" s="174"/>
      <c r="F214" s="174"/>
      <c r="G214" s="175"/>
      <c r="H214" s="752" t="s">
        <v>96</v>
      </c>
      <c r="I214" s="264">
        <f ca="1">IFERROR(__xludf.DUMMYFUNCTION("IMPORTRANGE(""https://docs.google.com/spreadsheets/d/1QqKyyYR6Q21VydFLVH3TRQUabQu_ym0Zz7PgGX0-kHA/edit?usp=sharing"",""แผน!AN73"")"),0)</f>
        <v>0</v>
      </c>
      <c r="J214" s="210">
        <v>0</v>
      </c>
      <c r="K214" s="495">
        <f t="shared" ref="K214:K216" ca="1" si="100">IF(I214&gt;0,J214*100/I214,0)</f>
        <v>0</v>
      </c>
      <c r="L214" s="495"/>
      <c r="M214" s="495"/>
      <c r="N214" s="495"/>
      <c r="O214" s="495"/>
      <c r="P214" s="495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8.75" hidden="1">
      <c r="A215" s="166"/>
      <c r="B215" s="167"/>
      <c r="C215" s="167"/>
      <c r="D215" s="172" t="s">
        <v>107</v>
      </c>
      <c r="E215" s="174"/>
      <c r="F215" s="174"/>
      <c r="G215" s="175"/>
      <c r="H215" s="752" t="s">
        <v>96</v>
      </c>
      <c r="I215" s="264">
        <f ca="1">IFERROR(__xludf.DUMMYFUNCTION("IMPORTRANGE(""https://docs.google.com/spreadsheets/d/1QqKyyYR6Q21VydFLVH3TRQUabQu_ym0Zz7PgGX0-kHA/edit?usp=sharing"",""แผน!AN73"")"),0)</f>
        <v>0</v>
      </c>
      <c r="J215" s="210">
        <v>0</v>
      </c>
      <c r="K215" s="495">
        <f t="shared" ca="1" si="100"/>
        <v>0</v>
      </c>
      <c r="L215" s="495"/>
      <c r="M215" s="495"/>
      <c r="N215" s="495"/>
      <c r="O215" s="495"/>
      <c r="P215" s="495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9.5">
      <c r="A216" s="250"/>
      <c r="B216" s="258"/>
      <c r="C216" s="265" t="s">
        <v>108</v>
      </c>
      <c r="D216" s="251"/>
      <c r="E216" s="251"/>
      <c r="F216" s="286"/>
      <c r="G216" s="253"/>
      <c r="H216" s="254" t="s">
        <v>109</v>
      </c>
      <c r="I216" s="266">
        <f t="shared" ref="I216:J216" ca="1" si="101">I224</f>
        <v>5000</v>
      </c>
      <c r="J216" s="266">
        <f t="shared" si="101"/>
        <v>0</v>
      </c>
      <c r="K216" s="267">
        <f t="shared" ca="1" si="100"/>
        <v>0</v>
      </c>
      <c r="L216" s="256"/>
      <c r="M216" s="256"/>
      <c r="N216" s="256"/>
      <c r="O216" s="256"/>
      <c r="P216" s="256"/>
    </row>
    <row r="217" spans="1:26" ht="19.5">
      <c r="A217" s="143"/>
      <c r="B217" s="144"/>
      <c r="C217" s="145" t="s">
        <v>16</v>
      </c>
      <c r="D217" s="829" t="s">
        <v>17</v>
      </c>
      <c r="E217" s="144"/>
      <c r="F217" s="144"/>
      <c r="G217" s="147"/>
      <c r="H217" s="269" t="s">
        <v>12</v>
      </c>
      <c r="I217" s="417"/>
      <c r="J217" s="417"/>
      <c r="K217" s="274"/>
      <c r="L217" s="151">
        <f ca="1">L218+L219+L220</f>
        <v>5900</v>
      </c>
      <c r="M217" s="151"/>
      <c r="N217" s="151">
        <f>N218+N219+N220</f>
        <v>0</v>
      </c>
      <c r="O217" s="151">
        <f ca="1">IF(L217&gt;0,N217*100/L217,0)</f>
        <v>0</v>
      </c>
      <c r="P217" s="151">
        <f>IF(M217&gt;0,N217*100/M217,0)</f>
        <v>0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8.75">
      <c r="A218" s="155"/>
      <c r="B218" s="275"/>
      <c r="C218" s="32"/>
      <c r="D218" s="276" t="s">
        <v>97</v>
      </c>
      <c r="E218" s="32"/>
      <c r="F218" s="32"/>
      <c r="G218" s="34"/>
      <c r="H218" s="157" t="s">
        <v>12</v>
      </c>
      <c r="I218" s="180"/>
      <c r="J218" s="180"/>
      <c r="K218" s="159"/>
      <c r="L218" s="495">
        <f ca="1">IFERROR(__xludf.DUMMYFUNCTION("IMPORTRANGE(""https://docs.google.com/spreadsheets/d/1QqKyyYR6Q21VydFLVH3TRQUabQu_ym0Zz7PgGX0-kHA/edit?usp=sharing"",""แผน!AP73"")"),3000)</f>
        <v>3000</v>
      </c>
      <c r="M218" s="495"/>
      <c r="N218" s="816"/>
      <c r="O218" s="495"/>
      <c r="P218" s="495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9.5">
      <c r="A219" s="279"/>
      <c r="B219" s="275"/>
      <c r="C219" s="287"/>
      <c r="D219" s="276" t="s">
        <v>110</v>
      </c>
      <c r="E219" s="32"/>
      <c r="F219" s="32"/>
      <c r="G219" s="34"/>
      <c r="H219" s="157" t="s">
        <v>12</v>
      </c>
      <c r="I219" s="264"/>
      <c r="J219" s="264"/>
      <c r="K219" s="495"/>
      <c r="L219" s="495">
        <f ca="1">IFERROR(__xludf.DUMMYFUNCTION("IMPORTRANGE(""https://docs.google.com/spreadsheets/d/1QqKyyYR6Q21VydFLVH3TRQUabQu_ym0Zz7PgGX0-kHA/edit?usp=sharing"",""แผน!AQ73"")"),2900)</f>
        <v>2900</v>
      </c>
      <c r="M219" s="495"/>
      <c r="N219" s="816">
        <v>0</v>
      </c>
      <c r="O219" s="495"/>
      <c r="P219" s="495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</row>
    <row r="220" spans="1:26" ht="19.5">
      <c r="A220" s="279"/>
      <c r="B220" s="275"/>
      <c r="C220" s="287"/>
      <c r="D220" s="276" t="s">
        <v>98</v>
      </c>
      <c r="E220" s="32"/>
      <c r="F220" s="32"/>
      <c r="G220" s="34"/>
      <c r="H220" s="157" t="s">
        <v>12</v>
      </c>
      <c r="I220" s="264"/>
      <c r="J220" s="264"/>
      <c r="K220" s="495"/>
      <c r="L220" s="495">
        <f ca="1">IFERROR(__xludf.DUMMYFUNCTION("IMPORTRANGE(""https://docs.google.com/spreadsheets/d/1QqKyyYR6Q21VydFLVH3TRQUabQu_ym0Zz7PgGX0-kHA/edit?usp=sharing"",""แผน!AR73"")"),0)</f>
        <v>0</v>
      </c>
      <c r="M220" s="495"/>
      <c r="N220" s="816">
        <v>0</v>
      </c>
      <c r="O220" s="495"/>
      <c r="P220" s="495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</row>
    <row r="221" spans="1:26" ht="19.5">
      <c r="A221" s="166"/>
      <c r="B221" s="167"/>
      <c r="C221" s="287" t="s">
        <v>16</v>
      </c>
      <c r="D221" s="826" t="s">
        <v>38</v>
      </c>
      <c r="E221" s="169"/>
      <c r="F221" s="169"/>
      <c r="G221" s="170"/>
      <c r="H221" s="752"/>
      <c r="I221" s="180"/>
      <c r="J221" s="180"/>
      <c r="K221" s="159"/>
      <c r="L221" s="159"/>
      <c r="M221" s="159"/>
      <c r="N221" s="159"/>
      <c r="O221" s="159"/>
      <c r="P221" s="159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8.75">
      <c r="A222" s="166"/>
      <c r="B222" s="167"/>
      <c r="C222" s="167"/>
      <c r="D222" s="276" t="s">
        <v>111</v>
      </c>
      <c r="E222" s="174"/>
      <c r="F222" s="174"/>
      <c r="G222" s="175"/>
      <c r="H222" s="752"/>
      <c r="I222" s="264"/>
      <c r="J222" s="264"/>
      <c r="K222" s="159"/>
      <c r="L222" s="159"/>
      <c r="M222" s="159"/>
      <c r="N222" s="159"/>
      <c r="O222" s="159"/>
      <c r="P222" s="159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8.75">
      <c r="A223" s="166"/>
      <c r="B223" s="167"/>
      <c r="C223" s="167"/>
      <c r="D223" s="167"/>
      <c r="E223" s="172" t="s">
        <v>112</v>
      </c>
      <c r="F223" s="174"/>
      <c r="G223" s="175"/>
      <c r="H223" s="754" t="s">
        <v>109</v>
      </c>
      <c r="I223" s="264">
        <f ca="1">IFERROR(__xludf.DUMMYFUNCTION("IMPORTRANGE(""https://docs.google.com/spreadsheets/d/1QqKyyYR6Q21VydFLVH3TRQUabQu_ym0Zz7PgGX0-kHA/edit?usp=sharing"",""แผน!AT73"")"),5000)</f>
        <v>5000</v>
      </c>
      <c r="J223" s="210">
        <v>0</v>
      </c>
      <c r="K223" s="159">
        <f t="shared" ref="K223:K226" ca="1" si="102">IF(I223&gt;0,J223*100/I223,0)</f>
        <v>0</v>
      </c>
      <c r="L223" s="159"/>
      <c r="M223" s="159"/>
      <c r="N223" s="159"/>
      <c r="O223" s="159"/>
      <c r="P223" s="159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8.75">
      <c r="A224" s="166"/>
      <c r="B224" s="167"/>
      <c r="C224" s="167"/>
      <c r="D224" s="167"/>
      <c r="E224" s="172" t="s">
        <v>113</v>
      </c>
      <c r="F224" s="174"/>
      <c r="G224" s="175"/>
      <c r="H224" s="754" t="s">
        <v>109</v>
      </c>
      <c r="I224" s="264">
        <f ca="1">IFERROR(__xludf.DUMMYFUNCTION("IMPORTRANGE(""https://docs.google.com/spreadsheets/d/1QqKyyYR6Q21VydFLVH3TRQUabQu_ym0Zz7PgGX0-kHA/edit?usp=sharing"",""แผน!AT73"")"),5000)</f>
        <v>5000</v>
      </c>
      <c r="J224" s="210">
        <v>0</v>
      </c>
      <c r="K224" s="159">
        <f t="shared" ca="1" si="102"/>
        <v>0</v>
      </c>
      <c r="L224" s="495"/>
      <c r="M224" s="495"/>
      <c r="N224" s="495"/>
      <c r="O224" s="495"/>
      <c r="P224" s="495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8.75">
      <c r="A225" s="166"/>
      <c r="B225" s="167"/>
      <c r="C225" s="167"/>
      <c r="D225" s="276" t="s">
        <v>114</v>
      </c>
      <c r="E225" s="174"/>
      <c r="F225" s="174"/>
      <c r="G225" s="175"/>
      <c r="H225" s="754" t="s">
        <v>35</v>
      </c>
      <c r="I225" s="264">
        <f ca="1">IFERROR(__xludf.DUMMYFUNCTION("IMPORTRANGE(""https://docs.google.com/spreadsheets/d/1QqKyyYR6Q21VydFLVH3TRQUabQu_ym0Zz7PgGX0-kHA/edit?usp=sharing"",""แผน!AS73"")"),0)</f>
        <v>0</v>
      </c>
      <c r="J225" s="210">
        <v>0</v>
      </c>
      <c r="K225" s="159">
        <f t="shared" ca="1" si="102"/>
        <v>0</v>
      </c>
      <c r="L225" s="495"/>
      <c r="M225" s="495"/>
      <c r="N225" s="495"/>
      <c r="O225" s="495"/>
      <c r="P225" s="495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9.5" hidden="1">
      <c r="A226" s="250"/>
      <c r="B226" s="258"/>
      <c r="C226" s="337" t="s">
        <v>115</v>
      </c>
      <c r="D226" s="251"/>
      <c r="E226" s="251"/>
      <c r="F226" s="251"/>
      <c r="G226" s="253"/>
      <c r="H226" s="260" t="s">
        <v>35</v>
      </c>
      <c r="I226" s="340" t="e">
        <f t="shared" ref="I226:J226" ca="1" si="103">I237+I248</f>
        <v>#VALUE!</v>
      </c>
      <c r="J226" s="340">
        <f t="shared" si="103"/>
        <v>0</v>
      </c>
      <c r="K226" s="341" t="e">
        <f t="shared" ca="1" si="102"/>
        <v>#VALUE!</v>
      </c>
      <c r="L226" s="256"/>
      <c r="M226" s="256"/>
      <c r="N226" s="256"/>
      <c r="O226" s="256"/>
      <c r="P226" s="256"/>
    </row>
    <row r="227" spans="1:26" ht="19.5" hidden="1">
      <c r="A227" s="343"/>
      <c r="B227" s="344"/>
      <c r="C227" s="345" t="s">
        <v>16</v>
      </c>
      <c r="D227" s="830" t="s">
        <v>17</v>
      </c>
      <c r="E227" s="344"/>
      <c r="F227" s="344"/>
      <c r="G227" s="347"/>
      <c r="H227" s="348" t="s">
        <v>12</v>
      </c>
      <c r="I227" s="349"/>
      <c r="J227" s="349"/>
      <c r="K227" s="350"/>
      <c r="L227" s="351">
        <f t="shared" ref="L227:L231" ca="1" si="104">L238+L249</f>
        <v>0</v>
      </c>
      <c r="M227" s="351"/>
      <c r="N227" s="351">
        <f t="shared" ref="N227:N231" si="105">N238+N249</f>
        <v>0</v>
      </c>
      <c r="O227" s="831"/>
      <c r="P227" s="831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hidden="1">
      <c r="A228" s="152"/>
      <c r="B228" s="352"/>
      <c r="C228" s="39"/>
      <c r="D228" s="218" t="s">
        <v>97</v>
      </c>
      <c r="E228" s="39"/>
      <c r="F228" s="39"/>
      <c r="G228" s="41"/>
      <c r="H228" s="161" t="s">
        <v>12</v>
      </c>
      <c r="I228" s="162"/>
      <c r="J228" s="162"/>
      <c r="K228" s="163"/>
      <c r="L228" s="90">
        <f t="shared" ca="1" si="104"/>
        <v>0</v>
      </c>
      <c r="M228" s="90"/>
      <c r="N228" s="90">
        <f t="shared" si="105"/>
        <v>0</v>
      </c>
      <c r="O228" s="90"/>
      <c r="P228" s="9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9.5" hidden="1">
      <c r="A229" s="354"/>
      <c r="B229" s="352"/>
      <c r="C229" s="355"/>
      <c r="D229" s="218" t="s">
        <v>98</v>
      </c>
      <c r="E229" s="39"/>
      <c r="F229" s="39"/>
      <c r="G229" s="41"/>
      <c r="H229" s="161" t="s">
        <v>12</v>
      </c>
      <c r="I229" s="609"/>
      <c r="J229" s="609"/>
      <c r="K229" s="90"/>
      <c r="L229" s="90">
        <f t="shared" ca="1" si="104"/>
        <v>0</v>
      </c>
      <c r="M229" s="90"/>
      <c r="N229" s="90">
        <f t="shared" si="105"/>
        <v>0</v>
      </c>
      <c r="O229" s="90"/>
      <c r="P229" s="90"/>
      <c r="Q229" s="356"/>
      <c r="R229" s="356"/>
      <c r="S229" s="356"/>
      <c r="T229" s="356"/>
      <c r="U229" s="356"/>
      <c r="V229" s="356"/>
      <c r="W229" s="356"/>
      <c r="X229" s="356"/>
      <c r="Y229" s="356"/>
      <c r="Z229" s="356"/>
    </row>
    <row r="230" spans="1:26" ht="19.5" hidden="1">
      <c r="A230" s="354"/>
      <c r="B230" s="352"/>
      <c r="C230" s="355"/>
      <c r="D230" s="218" t="s">
        <v>116</v>
      </c>
      <c r="E230" s="39"/>
      <c r="F230" s="39"/>
      <c r="G230" s="41"/>
      <c r="H230" s="161" t="s">
        <v>12</v>
      </c>
      <c r="I230" s="609"/>
      <c r="J230" s="609"/>
      <c r="K230" s="90"/>
      <c r="L230" s="90">
        <f t="shared" ca="1" si="104"/>
        <v>0</v>
      </c>
      <c r="M230" s="90"/>
      <c r="N230" s="90">
        <f t="shared" si="105"/>
        <v>0</v>
      </c>
      <c r="O230" s="90"/>
      <c r="P230" s="90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</row>
    <row r="231" spans="1:26" ht="19.5" hidden="1">
      <c r="A231" s="354"/>
      <c r="B231" s="352"/>
      <c r="C231" s="355"/>
      <c r="D231" s="218" t="s">
        <v>100</v>
      </c>
      <c r="E231" s="39"/>
      <c r="F231" s="39"/>
      <c r="G231" s="41"/>
      <c r="H231" s="161" t="s">
        <v>12</v>
      </c>
      <c r="I231" s="609"/>
      <c r="J231" s="609"/>
      <c r="K231" s="90"/>
      <c r="L231" s="90">
        <f t="shared" ca="1" si="104"/>
        <v>0</v>
      </c>
      <c r="M231" s="90"/>
      <c r="N231" s="90">
        <f t="shared" si="105"/>
        <v>0</v>
      </c>
      <c r="O231" s="90"/>
      <c r="P231" s="90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/>
    </row>
    <row r="232" spans="1:26" ht="19.5" hidden="1">
      <c r="A232" s="357"/>
      <c r="B232" s="358"/>
      <c r="C232" s="355" t="s">
        <v>16</v>
      </c>
      <c r="D232" s="261" t="s">
        <v>38</v>
      </c>
      <c r="E232" s="359"/>
      <c r="F232" s="359"/>
      <c r="G232" s="360"/>
      <c r="H232" s="361"/>
      <c r="I232" s="162"/>
      <c r="J232" s="609"/>
      <c r="K232" s="90"/>
      <c r="L232" s="90"/>
      <c r="M232" s="90"/>
      <c r="N232" s="90"/>
      <c r="O232" s="163"/>
      <c r="P232" s="163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hidden="1">
      <c r="A233" s="357"/>
      <c r="B233" s="358"/>
      <c r="C233" s="358"/>
      <c r="D233" s="362" t="s">
        <v>117</v>
      </c>
      <c r="E233" s="368"/>
      <c r="F233" s="368"/>
      <c r="G233" s="364"/>
      <c r="H233" s="365" t="s">
        <v>35</v>
      </c>
      <c r="I233" s="609" t="e">
        <f t="shared" ref="I233:J233" ca="1" si="106">I244+I255</f>
        <v>#VALUE!</v>
      </c>
      <c r="J233" s="609">
        <f t="shared" si="106"/>
        <v>0</v>
      </c>
      <c r="K233" s="90" t="e">
        <f ca="1">IF(I233&gt;0,J233*100/I233,0)</f>
        <v>#VALUE!</v>
      </c>
      <c r="L233" s="90"/>
      <c r="M233" s="90"/>
      <c r="N233" s="90"/>
      <c r="O233" s="90"/>
      <c r="P233" s="9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hidden="1">
      <c r="A234" s="357"/>
      <c r="B234" s="358"/>
      <c r="C234" s="358"/>
      <c r="D234" s="367" t="s">
        <v>43</v>
      </c>
      <c r="E234" s="368"/>
      <c r="F234" s="368"/>
      <c r="G234" s="364"/>
      <c r="H234" s="365"/>
      <c r="I234" s="609"/>
      <c r="J234" s="609"/>
      <c r="K234" s="90"/>
      <c r="L234" s="90"/>
      <c r="M234" s="90"/>
      <c r="N234" s="90"/>
      <c r="O234" s="163"/>
      <c r="P234" s="163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hidden="1">
      <c r="A235" s="357"/>
      <c r="B235" s="358"/>
      <c r="C235" s="358"/>
      <c r="D235" s="358"/>
      <c r="E235" s="369" t="s">
        <v>118</v>
      </c>
      <c r="F235" s="368"/>
      <c r="G235" s="364"/>
      <c r="H235" s="365" t="s">
        <v>35</v>
      </c>
      <c r="I235" s="609">
        <f t="shared" ref="I235:J236" si="107">I246+I257</f>
        <v>0</v>
      </c>
      <c r="J235" s="609">
        <f t="shared" si="107"/>
        <v>0</v>
      </c>
      <c r="K235" s="90">
        <f t="shared" ref="K235:K237" si="108">IF(I235&gt;0,J235*100/I235,0)</f>
        <v>0</v>
      </c>
      <c r="L235" s="90"/>
      <c r="M235" s="90"/>
      <c r="N235" s="90"/>
      <c r="O235" s="90"/>
      <c r="P235" s="9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hidden="1">
      <c r="A236" s="357"/>
      <c r="B236" s="358"/>
      <c r="C236" s="358"/>
      <c r="D236" s="358"/>
      <c r="E236" s="369" t="s">
        <v>119</v>
      </c>
      <c r="F236" s="368"/>
      <c r="G236" s="364"/>
      <c r="H236" s="365" t="s">
        <v>69</v>
      </c>
      <c r="I236" s="609">
        <f t="shared" si="107"/>
        <v>0</v>
      </c>
      <c r="J236" s="609">
        <f t="shared" si="107"/>
        <v>0</v>
      </c>
      <c r="K236" s="90">
        <f t="shared" si="108"/>
        <v>0</v>
      </c>
      <c r="L236" s="90"/>
      <c r="M236" s="90"/>
      <c r="N236" s="90"/>
      <c r="O236" s="90"/>
      <c r="P236" s="9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9.5" hidden="1">
      <c r="A237" s="250"/>
      <c r="B237" s="258"/>
      <c r="C237" s="265" t="s">
        <v>120</v>
      </c>
      <c r="D237" s="251"/>
      <c r="E237" s="251"/>
      <c r="F237" s="251"/>
      <c r="G237" s="253"/>
      <c r="H237" s="254" t="s">
        <v>35</v>
      </c>
      <c r="I237" s="266">
        <f t="shared" ref="I237:J237" ca="1" si="109">I244</f>
        <v>0</v>
      </c>
      <c r="J237" s="266">
        <f t="shared" si="109"/>
        <v>0</v>
      </c>
      <c r="K237" s="267">
        <f t="shared" ca="1" si="108"/>
        <v>0</v>
      </c>
      <c r="L237" s="256"/>
      <c r="M237" s="256"/>
      <c r="N237" s="256"/>
      <c r="O237" s="256"/>
      <c r="P237" s="256"/>
    </row>
    <row r="238" spans="1:26" ht="19.5" hidden="1">
      <c r="A238" s="143"/>
      <c r="B238" s="144"/>
      <c r="C238" s="145" t="s">
        <v>16</v>
      </c>
      <c r="D238" s="825" t="s">
        <v>17</v>
      </c>
      <c r="E238" s="144"/>
      <c r="F238" s="144"/>
      <c r="G238" s="147"/>
      <c r="H238" s="269" t="s">
        <v>12</v>
      </c>
      <c r="I238" s="417"/>
      <c r="J238" s="417"/>
      <c r="K238" s="274"/>
      <c r="L238" s="151">
        <f ca="1">L239+L240+L241+L242</f>
        <v>0</v>
      </c>
      <c r="M238" s="151"/>
      <c r="N238" s="151">
        <f>N239+N240+N241+N242</f>
        <v>0</v>
      </c>
      <c r="O238" s="151">
        <f ca="1">IF(L238&gt;0,N238*100/L238,0)</f>
        <v>0</v>
      </c>
      <c r="P238" s="151">
        <f>IF(M238&gt;0,N238*100/M238,0)</f>
        <v>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8.75" hidden="1">
      <c r="A239" s="309"/>
      <c r="B239" s="310"/>
      <c r="C239" s="311"/>
      <c r="D239" s="320" t="s">
        <v>97</v>
      </c>
      <c r="E239" s="311"/>
      <c r="F239" s="311"/>
      <c r="G239" s="313"/>
      <c r="H239" s="314" t="s">
        <v>12</v>
      </c>
      <c r="I239" s="315"/>
      <c r="J239" s="315"/>
      <c r="K239" s="316"/>
      <c r="L239" s="317">
        <f ca="1">IFERROR(__xludf.DUMMYFUNCTION("IMPORTRANGE(""https://docs.google.com/spreadsheets/d/1QqKyyYR6Q21VydFLVH3TRQUabQu_ym0Zz7PgGX0-kHA/edit?usp=sharing"",""แผน!AV73"")"),0)</f>
        <v>0</v>
      </c>
      <c r="M239" s="317"/>
      <c r="N239" s="832">
        <v>0</v>
      </c>
      <c r="O239" s="317"/>
      <c r="P239" s="317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</row>
    <row r="240" spans="1:26" ht="19.5" hidden="1">
      <c r="A240" s="318"/>
      <c r="B240" s="310"/>
      <c r="C240" s="319"/>
      <c r="D240" s="320" t="s">
        <v>98</v>
      </c>
      <c r="E240" s="311"/>
      <c r="F240" s="311"/>
      <c r="G240" s="313"/>
      <c r="H240" s="314" t="s">
        <v>12</v>
      </c>
      <c r="I240" s="321"/>
      <c r="J240" s="321"/>
      <c r="K240" s="317"/>
      <c r="L240" s="317">
        <f ca="1">IFERROR(__xludf.DUMMYFUNCTION("IMPORTRANGE(""https://docs.google.com/spreadsheets/d/1QqKyyYR6Q21VydFLVH3TRQUabQu_ym0Zz7PgGX0-kHA/edit?usp=sharing"",""แผน!AW73"")"),0)</f>
        <v>0</v>
      </c>
      <c r="M240" s="317"/>
      <c r="N240" s="832">
        <v>0</v>
      </c>
      <c r="O240" s="317"/>
      <c r="P240" s="317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 ht="19.5" hidden="1">
      <c r="A241" s="318"/>
      <c r="B241" s="310"/>
      <c r="C241" s="319"/>
      <c r="D241" s="320" t="s">
        <v>116</v>
      </c>
      <c r="E241" s="311"/>
      <c r="F241" s="311"/>
      <c r="G241" s="313"/>
      <c r="H241" s="314" t="s">
        <v>12</v>
      </c>
      <c r="I241" s="321"/>
      <c r="J241" s="321"/>
      <c r="K241" s="317"/>
      <c r="L241" s="317">
        <f ca="1">IFERROR(__xludf.DUMMYFUNCTION("IMPORTRANGE(""https://docs.google.com/spreadsheets/d/1QqKyyYR6Q21VydFLVH3TRQUabQu_ym0Zz7PgGX0-kHA/edit?usp=sharing"",""แผน!AX73"")"),0)</f>
        <v>0</v>
      </c>
      <c r="M241" s="317"/>
      <c r="N241" s="832">
        <v>0</v>
      </c>
      <c r="O241" s="317"/>
      <c r="P241" s="317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 ht="19.5" hidden="1">
      <c r="A242" s="318"/>
      <c r="B242" s="310"/>
      <c r="C242" s="319"/>
      <c r="D242" s="320" t="s">
        <v>100</v>
      </c>
      <c r="E242" s="311"/>
      <c r="F242" s="311"/>
      <c r="G242" s="313"/>
      <c r="H242" s="314" t="s">
        <v>12</v>
      </c>
      <c r="I242" s="321"/>
      <c r="J242" s="321"/>
      <c r="K242" s="317"/>
      <c r="L242" s="317">
        <f ca="1">IFERROR(__xludf.DUMMYFUNCTION("IMPORTRANGE(""https://docs.google.com/spreadsheets/d/1QqKyyYR6Q21VydFLVH3TRQUabQu_ym0Zz7PgGX0-kHA/edit?usp=sharing"",""แผน!AY73"")"),0)</f>
        <v>0</v>
      </c>
      <c r="M242" s="317"/>
      <c r="N242" s="832">
        <v>0</v>
      </c>
      <c r="O242" s="317"/>
      <c r="P242" s="317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 ht="19.5" hidden="1">
      <c r="A243" s="166"/>
      <c r="B243" s="167"/>
      <c r="C243" s="287" t="s">
        <v>16</v>
      </c>
      <c r="D243" s="826" t="s">
        <v>38</v>
      </c>
      <c r="E243" s="169"/>
      <c r="F243" s="169"/>
      <c r="G243" s="170"/>
      <c r="H243" s="752"/>
      <c r="I243" s="180"/>
      <c r="J243" s="264"/>
      <c r="K243" s="495"/>
      <c r="L243" s="495"/>
      <c r="M243" s="495"/>
      <c r="N243" s="495"/>
      <c r="O243" s="159"/>
      <c r="P243" s="159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8.75" hidden="1">
      <c r="A244" s="166"/>
      <c r="B244" s="167"/>
      <c r="C244" s="167"/>
      <c r="D244" s="445" t="s">
        <v>117</v>
      </c>
      <c r="E244" s="174"/>
      <c r="F244" s="174"/>
      <c r="G244" s="175"/>
      <c r="H244" s="754" t="s">
        <v>35</v>
      </c>
      <c r="I244" s="264">
        <f ca="1">IFERROR(__xludf.DUMMYFUNCTION("IMPORTRANGE(""https://docs.google.com/spreadsheets/d/1QqKyyYR6Q21VydFLVH3TRQUabQu_ym0Zz7PgGX0-kHA/edit?usp=sharing"",""แผน!BE73"")"),0)</f>
        <v>0</v>
      </c>
      <c r="J244" s="210">
        <v>0</v>
      </c>
      <c r="K244" s="495">
        <f ca="1">IF(I244&gt;0,J244*100/I244,0)</f>
        <v>0</v>
      </c>
      <c r="L244" s="495"/>
      <c r="M244" s="495"/>
      <c r="N244" s="495"/>
      <c r="O244" s="495"/>
      <c r="P244" s="495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8.75" hidden="1">
      <c r="A245" s="166"/>
      <c r="B245" s="167"/>
      <c r="C245" s="167"/>
      <c r="D245" s="833" t="s">
        <v>43</v>
      </c>
      <c r="E245" s="174"/>
      <c r="F245" s="174"/>
      <c r="G245" s="175"/>
      <c r="H245" s="754"/>
      <c r="I245" s="264"/>
      <c r="J245" s="264"/>
      <c r="K245" s="495"/>
      <c r="L245" s="495"/>
      <c r="M245" s="495"/>
      <c r="N245" s="495"/>
      <c r="O245" s="159"/>
      <c r="P245" s="159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8.75" hidden="1">
      <c r="A246" s="166"/>
      <c r="B246" s="167"/>
      <c r="C246" s="167"/>
      <c r="D246" s="167"/>
      <c r="E246" s="172" t="s">
        <v>118</v>
      </c>
      <c r="F246" s="174"/>
      <c r="G246" s="175"/>
      <c r="H246" s="754" t="s">
        <v>35</v>
      </c>
      <c r="I246" s="264"/>
      <c r="J246" s="210">
        <v>0</v>
      </c>
      <c r="K246" s="495">
        <f t="shared" ref="K246:K248" si="110">IF(I246&gt;0,J246*100/I246,0)</f>
        <v>0</v>
      </c>
      <c r="L246" s="495"/>
      <c r="M246" s="495"/>
      <c r="N246" s="495"/>
      <c r="O246" s="495"/>
      <c r="P246" s="495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8.75" hidden="1">
      <c r="A247" s="166"/>
      <c r="B247" s="167"/>
      <c r="C247" s="167"/>
      <c r="D247" s="167"/>
      <c r="E247" s="172" t="s">
        <v>119</v>
      </c>
      <c r="F247" s="174"/>
      <c r="G247" s="175"/>
      <c r="H247" s="754" t="s">
        <v>69</v>
      </c>
      <c r="I247" s="264"/>
      <c r="J247" s="210">
        <v>0</v>
      </c>
      <c r="K247" s="495">
        <f t="shared" si="110"/>
        <v>0</v>
      </c>
      <c r="L247" s="495"/>
      <c r="M247" s="495"/>
      <c r="N247" s="495"/>
      <c r="O247" s="495"/>
      <c r="P247" s="495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9.5" hidden="1">
      <c r="A248" s="250"/>
      <c r="B248" s="258"/>
      <c r="C248" s="265" t="s">
        <v>121</v>
      </c>
      <c r="D248" s="251"/>
      <c r="E248" s="251"/>
      <c r="F248" s="251"/>
      <c r="G248" s="253"/>
      <c r="H248" s="254" t="s">
        <v>35</v>
      </c>
      <c r="I248" s="266" t="str">
        <f t="shared" ref="I248:J248" ca="1" si="111">I255</f>
        <v/>
      </c>
      <c r="J248" s="266">
        <f t="shared" si="111"/>
        <v>0</v>
      </c>
      <c r="K248" s="267" t="e">
        <f t="shared" ca="1" si="110"/>
        <v>#VALUE!</v>
      </c>
      <c r="L248" s="256"/>
      <c r="M248" s="256"/>
      <c r="N248" s="256"/>
      <c r="O248" s="256"/>
      <c r="P248" s="256"/>
    </row>
    <row r="249" spans="1:26" ht="19.5" hidden="1">
      <c r="A249" s="143"/>
      <c r="B249" s="144"/>
      <c r="C249" s="145" t="s">
        <v>16</v>
      </c>
      <c r="D249" s="829" t="s">
        <v>17</v>
      </c>
      <c r="E249" s="144"/>
      <c r="F249" s="144"/>
      <c r="G249" s="147"/>
      <c r="H249" s="269" t="s">
        <v>12</v>
      </c>
      <c r="I249" s="417"/>
      <c r="J249" s="417"/>
      <c r="K249" s="274"/>
      <c r="L249" s="151">
        <f ca="1">L250+L251+L252+L253</f>
        <v>0</v>
      </c>
      <c r="M249" s="151"/>
      <c r="N249" s="151">
        <f>N250+N251+N252+N253</f>
        <v>0</v>
      </c>
      <c r="O249" s="151">
        <f ca="1">IF(L249&gt;0,N249*100/L249,0)</f>
        <v>0</v>
      </c>
      <c r="P249" s="151">
        <f>IF(M249&gt;0,N249*100/M249,0)</f>
        <v>0</v>
      </c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8.75" hidden="1">
      <c r="A250" s="309"/>
      <c r="B250" s="310"/>
      <c r="C250" s="311"/>
      <c r="D250" s="320" t="s">
        <v>97</v>
      </c>
      <c r="E250" s="311"/>
      <c r="F250" s="311"/>
      <c r="G250" s="313"/>
      <c r="H250" s="314" t="s">
        <v>12</v>
      </c>
      <c r="I250" s="315"/>
      <c r="J250" s="315"/>
      <c r="K250" s="316"/>
      <c r="L250" s="317">
        <f ca="1">IFERROR(__xludf.DUMMYFUNCTION("IMPORTRANGE(""https://docs.google.com/spreadsheets/d/1QqKyyYR6Q21VydFLVH3TRQUabQu_ym0Zz7PgGX0-kHA/edit?usp=sharing"",""แผน!AZ73"")"),0)</f>
        <v>0</v>
      </c>
      <c r="M250" s="317"/>
      <c r="N250" s="832">
        <v>0</v>
      </c>
      <c r="O250" s="317"/>
      <c r="P250" s="317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</row>
    <row r="251" spans="1:26" ht="19.5" hidden="1">
      <c r="A251" s="318"/>
      <c r="B251" s="310"/>
      <c r="C251" s="319"/>
      <c r="D251" s="320" t="s">
        <v>98</v>
      </c>
      <c r="E251" s="311"/>
      <c r="F251" s="311"/>
      <c r="G251" s="313"/>
      <c r="H251" s="314" t="s">
        <v>12</v>
      </c>
      <c r="I251" s="321"/>
      <c r="J251" s="321"/>
      <c r="K251" s="317"/>
      <c r="L251" s="317">
        <f ca="1">IFERROR(__xludf.DUMMYFUNCTION("IMPORTRANGE(""https://docs.google.com/spreadsheets/d/1QqKyyYR6Q21VydFLVH3TRQUabQu_ym0Zz7PgGX0-kHA/edit?usp=sharing"",""แผน!BA73"")"),0)</f>
        <v>0</v>
      </c>
      <c r="M251" s="317"/>
      <c r="N251" s="832">
        <v>0</v>
      </c>
      <c r="O251" s="317"/>
      <c r="P251" s="317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 ht="19.5" hidden="1">
      <c r="A252" s="318"/>
      <c r="B252" s="310"/>
      <c r="C252" s="319"/>
      <c r="D252" s="320" t="s">
        <v>116</v>
      </c>
      <c r="E252" s="311"/>
      <c r="F252" s="311"/>
      <c r="G252" s="313"/>
      <c r="H252" s="314" t="s">
        <v>12</v>
      </c>
      <c r="I252" s="321"/>
      <c r="J252" s="321"/>
      <c r="K252" s="317"/>
      <c r="L252" s="317">
        <f ca="1">IFERROR(__xludf.DUMMYFUNCTION("IMPORTRANGE(""https://docs.google.com/spreadsheets/d/1QqKyyYR6Q21VydFLVH3TRQUabQu_ym0Zz7PgGX0-kHA/edit?usp=sharing"",""แผน!BB73"")"),0)</f>
        <v>0</v>
      </c>
      <c r="M252" s="317"/>
      <c r="N252" s="832">
        <v>0</v>
      </c>
      <c r="O252" s="317"/>
      <c r="P252" s="317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 ht="19.5" hidden="1">
      <c r="A253" s="318"/>
      <c r="B253" s="310"/>
      <c r="C253" s="319"/>
      <c r="D253" s="320" t="s">
        <v>100</v>
      </c>
      <c r="E253" s="311"/>
      <c r="F253" s="311"/>
      <c r="G253" s="313"/>
      <c r="H253" s="314" t="s">
        <v>12</v>
      </c>
      <c r="I253" s="321"/>
      <c r="J253" s="321"/>
      <c r="K253" s="317"/>
      <c r="L253" s="317">
        <f ca="1">IFERROR(__xludf.DUMMYFUNCTION("IMPORTRANGE(""https://docs.google.com/spreadsheets/d/1QqKyyYR6Q21VydFLVH3TRQUabQu_ym0Zz7PgGX0-kHA/edit?usp=sharing"",""แผน!BC73"")"),0)</f>
        <v>0</v>
      </c>
      <c r="M253" s="317"/>
      <c r="N253" s="832">
        <v>0</v>
      </c>
      <c r="O253" s="317"/>
      <c r="P253" s="317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 ht="19.5" hidden="1">
      <c r="A254" s="166"/>
      <c r="B254" s="167"/>
      <c r="C254" s="287" t="s">
        <v>16</v>
      </c>
      <c r="D254" s="826" t="s">
        <v>38</v>
      </c>
      <c r="E254" s="169"/>
      <c r="F254" s="169"/>
      <c r="G254" s="170"/>
      <c r="H254" s="752"/>
      <c r="I254" s="180"/>
      <c r="J254" s="264"/>
      <c r="K254" s="495"/>
      <c r="L254" s="495"/>
      <c r="M254" s="495"/>
      <c r="N254" s="495"/>
      <c r="O254" s="159"/>
      <c r="P254" s="159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8.75" hidden="1">
      <c r="A255" s="166"/>
      <c r="B255" s="167"/>
      <c r="C255" s="167"/>
      <c r="D255" s="445" t="s">
        <v>117</v>
      </c>
      <c r="E255" s="174"/>
      <c r="F255" s="174"/>
      <c r="G255" s="175"/>
      <c r="H255" s="754" t="s">
        <v>35</v>
      </c>
      <c r="I255" s="264" t="str">
        <f ca="1">IFERROR(__xludf.DUMMYFUNCTION("IMPORTRANGE(""https://docs.google.com/spreadsheets/d/1QqKyyYR6Q21VydFLVH3TRQUabQu_ym0Zz7PgGX0-kHA/edit?usp=sharing"",""แผน!BF73"")"),"")</f>
        <v/>
      </c>
      <c r="J255" s="210">
        <v>0</v>
      </c>
      <c r="K255" s="495" t="e">
        <f ca="1">IF(I255&gt;0,J255*100/I255,0)</f>
        <v>#VALUE!</v>
      </c>
      <c r="L255" s="495"/>
      <c r="M255" s="495"/>
      <c r="N255" s="495"/>
      <c r="O255" s="495"/>
      <c r="P255" s="495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8.75" hidden="1">
      <c r="A256" s="166"/>
      <c r="B256" s="167"/>
      <c r="C256" s="167"/>
      <c r="D256" s="833" t="s">
        <v>43</v>
      </c>
      <c r="E256" s="174"/>
      <c r="F256" s="174"/>
      <c r="G256" s="175"/>
      <c r="H256" s="754"/>
      <c r="I256" s="264"/>
      <c r="J256" s="264"/>
      <c r="K256" s="495"/>
      <c r="L256" s="495"/>
      <c r="M256" s="495"/>
      <c r="N256" s="495"/>
      <c r="O256" s="159"/>
      <c r="P256" s="159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8.75" hidden="1">
      <c r="A257" s="166"/>
      <c r="B257" s="167"/>
      <c r="C257" s="167"/>
      <c r="D257" s="167"/>
      <c r="E257" s="172" t="s">
        <v>118</v>
      </c>
      <c r="F257" s="174"/>
      <c r="G257" s="175"/>
      <c r="H257" s="754" t="s">
        <v>35</v>
      </c>
      <c r="I257" s="264"/>
      <c r="J257" s="210">
        <v>0</v>
      </c>
      <c r="K257" s="495">
        <f t="shared" ref="K257:K258" si="112">IF(I257&gt;0,J257*100/I257,0)</f>
        <v>0</v>
      </c>
      <c r="L257" s="495"/>
      <c r="M257" s="495"/>
      <c r="N257" s="495"/>
      <c r="O257" s="495"/>
      <c r="P257" s="495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8.75" hidden="1">
      <c r="A258" s="166"/>
      <c r="B258" s="167"/>
      <c r="C258" s="167"/>
      <c r="D258" s="167"/>
      <c r="E258" s="172" t="s">
        <v>119</v>
      </c>
      <c r="F258" s="174"/>
      <c r="G258" s="175"/>
      <c r="H258" s="754" t="s">
        <v>69</v>
      </c>
      <c r="I258" s="264"/>
      <c r="J258" s="210">
        <v>0</v>
      </c>
      <c r="K258" s="495">
        <f t="shared" si="112"/>
        <v>0</v>
      </c>
      <c r="L258" s="495"/>
      <c r="M258" s="495"/>
      <c r="N258" s="495"/>
      <c r="O258" s="495"/>
      <c r="P258" s="495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9.5">
      <c r="A259" s="237" t="s">
        <v>122</v>
      </c>
      <c r="B259" s="238"/>
      <c r="C259" s="238"/>
      <c r="D259" s="239"/>
      <c r="E259" s="239"/>
      <c r="F259" s="239"/>
      <c r="G259" s="240"/>
      <c r="H259" s="241"/>
      <c r="I259" s="242"/>
      <c r="J259" s="242"/>
      <c r="K259" s="243"/>
      <c r="L259" s="243"/>
      <c r="M259" s="243"/>
      <c r="N259" s="243"/>
      <c r="O259" s="243"/>
      <c r="P259" s="243"/>
    </row>
    <row r="260" spans="1:26" ht="19.5">
      <c r="A260" s="244"/>
      <c r="B260" s="245" t="s">
        <v>123</v>
      </c>
      <c r="C260" s="246"/>
      <c r="D260" s="169"/>
      <c r="E260" s="169"/>
      <c r="F260" s="169"/>
      <c r="G260" s="170"/>
      <c r="H260" s="247" t="s">
        <v>35</v>
      </c>
      <c r="I260" s="371">
        <f t="shared" ref="I260:J260" ca="1" si="113">I271</f>
        <v>10</v>
      </c>
      <c r="J260" s="371">
        <f t="shared" si="113"/>
        <v>0</v>
      </c>
      <c r="K260" s="372">
        <f ca="1">IF(I260&gt;0,J260*100/I260,0)</f>
        <v>0</v>
      </c>
      <c r="L260" s="249"/>
      <c r="M260" s="249"/>
      <c r="N260" s="249"/>
      <c r="O260" s="249"/>
      <c r="P260" s="249"/>
    </row>
    <row r="261" spans="1:26" ht="19.5">
      <c r="A261" s="143"/>
      <c r="B261" s="144"/>
      <c r="C261" s="145" t="s">
        <v>16</v>
      </c>
      <c r="D261" s="825" t="s">
        <v>17</v>
      </c>
      <c r="E261" s="144"/>
      <c r="F261" s="144"/>
      <c r="G261" s="147"/>
      <c r="H261" s="148" t="s">
        <v>12</v>
      </c>
      <c r="I261" s="418"/>
      <c r="J261" s="418"/>
      <c r="K261" s="150"/>
      <c r="L261" s="151">
        <f t="shared" ref="L261:N261" ca="1" si="114">L262+L263</f>
        <v>158500</v>
      </c>
      <c r="M261" s="151">
        <f t="shared" ca="1" si="114"/>
        <v>65000</v>
      </c>
      <c r="N261" s="151">
        <f t="shared" ca="1" si="114"/>
        <v>18664</v>
      </c>
      <c r="O261" s="151">
        <f t="shared" ref="O261:O269" ca="1" si="115">IF(L261&gt;0,N261*100/L261,0)</f>
        <v>11.775394321766562</v>
      </c>
      <c r="P261" s="151">
        <f t="shared" ref="P261:P269" ca="1" si="116">IF(M261&gt;0,N261*100/M261,0)</f>
        <v>28.713846153846156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8.75" hidden="1">
      <c r="A262" s="152"/>
      <c r="B262" s="39"/>
      <c r="C262" s="39"/>
      <c r="D262" s="39"/>
      <c r="E262" s="218" t="s">
        <v>18</v>
      </c>
      <c r="F262" s="39"/>
      <c r="G262" s="153"/>
      <c r="H262" s="154" t="s">
        <v>12</v>
      </c>
      <c r="I262" s="609"/>
      <c r="J262" s="609"/>
      <c r="K262" s="90"/>
      <c r="L262" s="90">
        <f t="shared" ref="L262:N263" si="117">L265+L268</f>
        <v>0</v>
      </c>
      <c r="M262" s="90">
        <f t="shared" si="117"/>
        <v>0</v>
      </c>
      <c r="N262" s="90">
        <f t="shared" si="117"/>
        <v>0</v>
      </c>
      <c r="O262" s="90">
        <f t="shared" si="115"/>
        <v>0</v>
      </c>
      <c r="P262" s="90">
        <f t="shared" si="116"/>
        <v>0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hidden="1">
      <c r="A263" s="152"/>
      <c r="B263" s="39"/>
      <c r="C263" s="39"/>
      <c r="D263" s="39"/>
      <c r="E263" s="218" t="s">
        <v>19</v>
      </c>
      <c r="F263" s="39"/>
      <c r="G263" s="153"/>
      <c r="H263" s="154" t="s">
        <v>12</v>
      </c>
      <c r="I263" s="609"/>
      <c r="J263" s="609"/>
      <c r="K263" s="90"/>
      <c r="L263" s="90">
        <f t="shared" ca="1" si="117"/>
        <v>158500</v>
      </c>
      <c r="M263" s="90">
        <f t="shared" ca="1" si="117"/>
        <v>65000</v>
      </c>
      <c r="N263" s="90">
        <f t="shared" ca="1" si="117"/>
        <v>18664</v>
      </c>
      <c r="O263" s="90">
        <f t="shared" ca="1" si="115"/>
        <v>11.775394321766562</v>
      </c>
      <c r="P263" s="90">
        <f t="shared" ca="1" si="116"/>
        <v>28.713846153846156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>
      <c r="A264" s="155"/>
      <c r="B264" s="32"/>
      <c r="C264" s="276"/>
      <c r="D264" s="33" t="s">
        <v>20</v>
      </c>
      <c r="E264" s="32"/>
      <c r="F264" s="32"/>
      <c r="G264" s="34"/>
      <c r="H264" s="157" t="s">
        <v>12</v>
      </c>
      <c r="I264" s="180"/>
      <c r="J264" s="180"/>
      <c r="K264" s="159"/>
      <c r="L264" s="495">
        <f t="shared" ref="L264:N264" ca="1" si="118">L265+L266</f>
        <v>158500</v>
      </c>
      <c r="M264" s="495">
        <f t="shared" ca="1" si="118"/>
        <v>65000</v>
      </c>
      <c r="N264" s="495">
        <f t="shared" ca="1" si="118"/>
        <v>18664</v>
      </c>
      <c r="O264" s="495">
        <f t="shared" ca="1" si="115"/>
        <v>11.775394321766562</v>
      </c>
      <c r="P264" s="495">
        <f t="shared" ca="1" si="116"/>
        <v>28.713846153846156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9.5" hidden="1">
      <c r="A265" s="152"/>
      <c r="B265" s="39"/>
      <c r="C265" s="160"/>
      <c r="D265" s="39"/>
      <c r="E265" s="218" t="s">
        <v>36</v>
      </c>
      <c r="F265" s="39"/>
      <c r="G265" s="153"/>
      <c r="H265" s="161" t="s">
        <v>12</v>
      </c>
      <c r="I265" s="162"/>
      <c r="J265" s="162"/>
      <c r="K265" s="163"/>
      <c r="L265" s="90">
        <v>0</v>
      </c>
      <c r="M265" s="90">
        <v>0</v>
      </c>
      <c r="N265" s="90">
        <v>0</v>
      </c>
      <c r="O265" s="90">
        <f t="shared" si="115"/>
        <v>0</v>
      </c>
      <c r="P265" s="90">
        <f t="shared" si="116"/>
        <v>0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9.5" hidden="1">
      <c r="A266" s="152"/>
      <c r="B266" s="39"/>
      <c r="C266" s="160"/>
      <c r="D266" s="39"/>
      <c r="E266" s="218" t="s">
        <v>37</v>
      </c>
      <c r="F266" s="39"/>
      <c r="G266" s="153"/>
      <c r="H266" s="161" t="s">
        <v>12</v>
      </c>
      <c r="I266" s="162"/>
      <c r="J266" s="162"/>
      <c r="K266" s="163"/>
      <c r="L266" s="90">
        <f ca="1">IFERROR(__xludf.DUMMYFUNCTION("IMPORTRANGE(""https://docs.google.com/spreadsheets/d/1MeEWN-I1oV_STSDYn1IFDPWt_1FKiwhDph83XaGc0o0/edit?usp=sharing"",""งบพรบ!CY73"")"),158500)</f>
        <v>158500</v>
      </c>
      <c r="M266" s="90">
        <f ca="1">IFERROR(__xludf.DUMMYFUNCTION("IMPORTRANGE(""https://docs.google.com/spreadsheets/d/1MeEWN-I1oV_STSDYn1IFDPWt_1FKiwhDph83XaGc0o0/edit?usp=sharing"",""งบพรบ!DD73"")"),65000)</f>
        <v>65000</v>
      </c>
      <c r="N266" s="90">
        <f ca="1">IFERROR(__xludf.DUMMYFUNCTION("IMPORTRANGE(""https://docs.google.com/spreadsheets/d/1MeEWN-I1oV_STSDYn1IFDPWt_1FKiwhDph83XaGc0o0/edit?usp=sharing"",""งบพรบ!DF73"")"),18664)</f>
        <v>18664</v>
      </c>
      <c r="O266" s="90">
        <f t="shared" ca="1" si="115"/>
        <v>11.775394321766562</v>
      </c>
      <c r="P266" s="90">
        <f t="shared" ca="1" si="116"/>
        <v>28.713846153846156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>
      <c r="A267" s="155"/>
      <c r="B267" s="32"/>
      <c r="C267" s="276"/>
      <c r="D267" s="33" t="s">
        <v>21</v>
      </c>
      <c r="E267" s="32"/>
      <c r="F267" s="32"/>
      <c r="G267" s="34"/>
      <c r="H267" s="164" t="s">
        <v>12</v>
      </c>
      <c r="I267" s="180"/>
      <c r="J267" s="180"/>
      <c r="K267" s="159"/>
      <c r="L267" s="495">
        <f t="shared" ref="L267:N267" ca="1" si="119">L268+L269</f>
        <v>0</v>
      </c>
      <c r="M267" s="495">
        <f t="shared" ca="1" si="119"/>
        <v>0</v>
      </c>
      <c r="N267" s="495">
        <f t="shared" ca="1" si="119"/>
        <v>0</v>
      </c>
      <c r="O267" s="495">
        <f t="shared" ca="1" si="115"/>
        <v>0</v>
      </c>
      <c r="P267" s="495">
        <f t="shared" ca="1" si="116"/>
        <v>0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9.5" hidden="1">
      <c r="A268" s="152"/>
      <c r="B268" s="39"/>
      <c r="C268" s="160"/>
      <c r="D268" s="39"/>
      <c r="E268" s="218" t="s">
        <v>18</v>
      </c>
      <c r="F268" s="39"/>
      <c r="G268" s="153"/>
      <c r="H268" s="161" t="s">
        <v>12</v>
      </c>
      <c r="I268" s="162"/>
      <c r="J268" s="162"/>
      <c r="K268" s="163"/>
      <c r="L268" s="90">
        <v>0</v>
      </c>
      <c r="M268" s="90">
        <v>0</v>
      </c>
      <c r="N268" s="90">
        <v>0</v>
      </c>
      <c r="O268" s="90">
        <f t="shared" si="115"/>
        <v>0</v>
      </c>
      <c r="P268" s="90">
        <f t="shared" si="116"/>
        <v>0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9.5" hidden="1">
      <c r="A269" s="152"/>
      <c r="B269" s="39"/>
      <c r="C269" s="160"/>
      <c r="D269" s="39"/>
      <c r="E269" s="218" t="s">
        <v>19</v>
      </c>
      <c r="F269" s="39"/>
      <c r="G269" s="153"/>
      <c r="H269" s="165" t="s">
        <v>12</v>
      </c>
      <c r="I269" s="162"/>
      <c r="J269" s="162"/>
      <c r="K269" s="163"/>
      <c r="L269" s="90">
        <f ca="1">IFERROR(__xludf.DUMMYFUNCTION("IMPORTRANGE(""https://docs.google.com/spreadsheets/d/1MeEWN-I1oV_STSDYn1IFDPWt_1FKiwhDph83XaGc0o0/edit?usp=sharing"",""งบพรบ!DB73"")"),0)</f>
        <v>0</v>
      </c>
      <c r="M269" s="90">
        <f ca="1">IFERROR(__xludf.DUMMYFUNCTION("IMPORTRANGE(""https://docs.google.com/spreadsheets/d/1MeEWN-I1oV_STSDYn1IFDPWt_1FKiwhDph83XaGc0o0/edit?usp=sharing"",""งบพรบ!DE73"")"),0)</f>
        <v>0</v>
      </c>
      <c r="N269" s="90">
        <f ca="1">IFERROR(__xludf.DUMMYFUNCTION("IMPORTRANGE(""https://docs.google.com/spreadsheets/d/1MeEWN-I1oV_STSDYn1IFDPWt_1FKiwhDph83XaGc0o0/edit?usp=sharing"",""งบพรบ!DG73"")"),0)</f>
        <v>0</v>
      </c>
      <c r="O269" s="90">
        <f t="shared" ca="1" si="115"/>
        <v>0</v>
      </c>
      <c r="P269" s="90">
        <f t="shared" ca="1" si="116"/>
        <v>0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9.5">
      <c r="A270" s="166"/>
      <c r="B270" s="167"/>
      <c r="C270" s="276" t="s">
        <v>16</v>
      </c>
      <c r="D270" s="826" t="s">
        <v>38</v>
      </c>
      <c r="E270" s="169"/>
      <c r="F270" s="169"/>
      <c r="G270" s="170"/>
      <c r="H270" s="752"/>
      <c r="I270" s="180"/>
      <c r="J270" s="180"/>
      <c r="K270" s="159"/>
      <c r="L270" s="159"/>
      <c r="M270" s="159"/>
      <c r="N270" s="159"/>
      <c r="O270" s="159"/>
      <c r="P270" s="159"/>
    </row>
    <row r="271" spans="1:26" ht="18.75">
      <c r="A271" s="166"/>
      <c r="B271" s="167"/>
      <c r="C271" s="167"/>
      <c r="D271" s="373" t="s">
        <v>124</v>
      </c>
      <c r="E271" s="174"/>
      <c r="F271" s="362"/>
      <c r="G271" s="175"/>
      <c r="H271" s="374" t="s">
        <v>35</v>
      </c>
      <c r="I271" s="264">
        <f ca="1">IFERROR(__xludf.DUMMYFUNCTION("IMPORTRANGE(""https://docs.google.com/spreadsheets/d/1QqKyyYR6Q21VydFLVH3TRQUabQu_ym0Zz7PgGX0-kHA/edit?usp=sharing"",""แผน!EA73"")"),10)</f>
        <v>10</v>
      </c>
      <c r="J271" s="210">
        <v>0</v>
      </c>
      <c r="K271" s="159">
        <f ca="1">IF(I271&gt;0,J271*100/I271,0)</f>
        <v>0</v>
      </c>
      <c r="L271" s="159"/>
      <c r="M271" s="159"/>
      <c r="N271" s="159"/>
      <c r="O271" s="159"/>
      <c r="P271" s="159"/>
    </row>
    <row r="272" spans="1:26" ht="18.75" hidden="1">
      <c r="A272" s="375"/>
      <c r="B272" s="376"/>
      <c r="C272" s="376"/>
      <c r="D272" s="377" t="s">
        <v>125</v>
      </c>
      <c r="E272" s="378"/>
      <c r="F272" s="378"/>
      <c r="G272" s="379"/>
      <c r="H272" s="49" t="s">
        <v>35</v>
      </c>
      <c r="I272" s="498">
        <v>0</v>
      </c>
      <c r="J272" s="498">
        <v>0</v>
      </c>
      <c r="K272" s="382">
        <v>0</v>
      </c>
      <c r="L272" s="382"/>
      <c r="M272" s="382"/>
      <c r="N272" s="382"/>
      <c r="O272" s="382"/>
      <c r="P272" s="382"/>
    </row>
    <row r="273" spans="1:26" ht="19.5">
      <c r="A273" s="383" t="s">
        <v>126</v>
      </c>
      <c r="B273" s="384"/>
      <c r="C273" s="384"/>
      <c r="D273" s="384"/>
      <c r="E273" s="385"/>
      <c r="F273" s="385"/>
      <c r="G273" s="386"/>
      <c r="H273" s="387"/>
      <c r="I273" s="388"/>
      <c r="J273" s="388"/>
      <c r="K273" s="389"/>
      <c r="L273" s="389"/>
      <c r="M273" s="389"/>
      <c r="N273" s="389"/>
      <c r="O273" s="389"/>
      <c r="P273" s="389"/>
    </row>
    <row r="274" spans="1:26" ht="19.5" hidden="1">
      <c r="A274" s="390" t="s">
        <v>127</v>
      </c>
      <c r="B274" s="391"/>
      <c r="C274" s="392"/>
      <c r="D274" s="391"/>
      <c r="E274" s="391"/>
      <c r="F274" s="391"/>
      <c r="G274" s="391"/>
      <c r="H274" s="393"/>
      <c r="I274" s="394"/>
      <c r="J274" s="395"/>
      <c r="K274" s="396"/>
      <c r="L274" s="396"/>
      <c r="M274" s="396"/>
      <c r="N274" s="396"/>
      <c r="O274" s="396"/>
      <c r="P274" s="396"/>
    </row>
    <row r="275" spans="1:26" ht="19.5" hidden="1">
      <c r="A275" s="397"/>
      <c r="B275" s="406" t="s">
        <v>128</v>
      </c>
      <c r="C275" s="399"/>
      <c r="D275" s="400"/>
      <c r="E275" s="399"/>
      <c r="F275" s="399"/>
      <c r="G275" s="401"/>
      <c r="H275" s="402" t="s">
        <v>35</v>
      </c>
      <c r="I275" s="403">
        <f t="shared" ref="I275:J275" ca="1" si="120">I288</f>
        <v>0</v>
      </c>
      <c r="J275" s="403">
        <f t="shared" ca="1" si="120"/>
        <v>0</v>
      </c>
      <c r="K275" s="404">
        <f t="shared" ref="K275:K276" ca="1" si="121">IF(I275&gt;0,J275*100/I275,0)</f>
        <v>0</v>
      </c>
      <c r="L275" s="405"/>
      <c r="M275" s="405"/>
      <c r="N275" s="405"/>
      <c r="O275" s="405"/>
      <c r="P275" s="405"/>
    </row>
    <row r="276" spans="1:26" ht="19.5" hidden="1">
      <c r="A276" s="397"/>
      <c r="B276" s="406"/>
      <c r="C276" s="399"/>
      <c r="D276" s="400"/>
      <c r="E276" s="399"/>
      <c r="F276" s="399"/>
      <c r="G276" s="401"/>
      <c r="H276" s="402" t="s">
        <v>46</v>
      </c>
      <c r="I276" s="407">
        <f t="shared" ref="I276:J276" ca="1" si="122">I287</f>
        <v>0</v>
      </c>
      <c r="J276" s="407">
        <f t="shared" si="122"/>
        <v>0</v>
      </c>
      <c r="K276" s="405">
        <f t="shared" ca="1" si="121"/>
        <v>0</v>
      </c>
      <c r="L276" s="405"/>
      <c r="M276" s="405"/>
      <c r="N276" s="405"/>
      <c r="O276" s="405"/>
      <c r="P276" s="405"/>
    </row>
    <row r="277" spans="1:26" ht="19.5" hidden="1">
      <c r="A277" s="143"/>
      <c r="B277" s="144"/>
      <c r="C277" s="145" t="s">
        <v>16</v>
      </c>
      <c r="D277" s="825" t="s">
        <v>17</v>
      </c>
      <c r="E277" s="144"/>
      <c r="F277" s="144"/>
      <c r="G277" s="147"/>
      <c r="H277" s="148" t="s">
        <v>12</v>
      </c>
      <c r="I277" s="418"/>
      <c r="J277" s="418"/>
      <c r="K277" s="150"/>
      <c r="L277" s="151">
        <f t="shared" ref="L277:N277" ca="1" si="123">L278+L279</f>
        <v>0</v>
      </c>
      <c r="M277" s="151">
        <f t="shared" ca="1" si="123"/>
        <v>0</v>
      </c>
      <c r="N277" s="151">
        <f t="shared" ca="1" si="123"/>
        <v>0</v>
      </c>
      <c r="O277" s="151">
        <f t="shared" ref="O277:O285" ca="1" si="124">IF(L277&gt;0,N277*100/L277,0)</f>
        <v>0</v>
      </c>
      <c r="P277" s="151">
        <f t="shared" ref="P277:P285" ca="1" si="125">IF(M277&gt;0,N277*100/M277,0)</f>
        <v>0</v>
      </c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8.75" hidden="1">
      <c r="A278" s="152"/>
      <c r="B278" s="39"/>
      <c r="C278" s="39"/>
      <c r="D278" s="39"/>
      <c r="E278" s="218" t="s">
        <v>18</v>
      </c>
      <c r="F278" s="39"/>
      <c r="G278" s="153"/>
      <c r="H278" s="154" t="s">
        <v>12</v>
      </c>
      <c r="I278" s="609"/>
      <c r="J278" s="609"/>
      <c r="K278" s="90"/>
      <c r="L278" s="90">
        <f t="shared" ref="L278:N279" si="126">L281+L284</f>
        <v>0</v>
      </c>
      <c r="M278" s="90">
        <f t="shared" si="126"/>
        <v>0</v>
      </c>
      <c r="N278" s="90">
        <f t="shared" si="126"/>
        <v>0</v>
      </c>
      <c r="O278" s="90">
        <f t="shared" si="124"/>
        <v>0</v>
      </c>
      <c r="P278" s="90">
        <f t="shared" si="125"/>
        <v>0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hidden="1">
      <c r="A279" s="152"/>
      <c r="B279" s="39"/>
      <c r="C279" s="39"/>
      <c r="D279" s="39"/>
      <c r="E279" s="218" t="s">
        <v>19</v>
      </c>
      <c r="F279" s="39"/>
      <c r="G279" s="153"/>
      <c r="H279" s="154" t="s">
        <v>12</v>
      </c>
      <c r="I279" s="609"/>
      <c r="J279" s="609"/>
      <c r="K279" s="90"/>
      <c r="L279" s="90">
        <f t="shared" ca="1" si="126"/>
        <v>0</v>
      </c>
      <c r="M279" s="90">
        <f t="shared" ca="1" si="126"/>
        <v>0</v>
      </c>
      <c r="N279" s="90">
        <f t="shared" ca="1" si="126"/>
        <v>0</v>
      </c>
      <c r="O279" s="90">
        <f t="shared" ca="1" si="124"/>
        <v>0</v>
      </c>
      <c r="P279" s="90">
        <f t="shared" ca="1" si="125"/>
        <v>0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hidden="1">
      <c r="A280" s="155"/>
      <c r="B280" s="32"/>
      <c r="C280" s="276"/>
      <c r="D280" s="33" t="s">
        <v>20</v>
      </c>
      <c r="E280" s="32"/>
      <c r="F280" s="32"/>
      <c r="G280" s="34"/>
      <c r="H280" s="157" t="s">
        <v>12</v>
      </c>
      <c r="I280" s="180"/>
      <c r="J280" s="180"/>
      <c r="K280" s="159"/>
      <c r="L280" s="495">
        <f t="shared" ref="L280:N280" ca="1" si="127">L281+L282</f>
        <v>0</v>
      </c>
      <c r="M280" s="495">
        <f t="shared" ca="1" si="127"/>
        <v>0</v>
      </c>
      <c r="N280" s="495">
        <f t="shared" ca="1" si="127"/>
        <v>0</v>
      </c>
      <c r="O280" s="495">
        <f t="shared" ca="1" si="124"/>
        <v>0</v>
      </c>
      <c r="P280" s="495">
        <f t="shared" ca="1" si="125"/>
        <v>0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9.5" hidden="1">
      <c r="A281" s="152"/>
      <c r="B281" s="39"/>
      <c r="C281" s="160"/>
      <c r="D281" s="39"/>
      <c r="E281" s="218" t="s">
        <v>36</v>
      </c>
      <c r="F281" s="39"/>
      <c r="G281" s="153"/>
      <c r="H281" s="161" t="s">
        <v>12</v>
      </c>
      <c r="I281" s="162"/>
      <c r="J281" s="162"/>
      <c r="K281" s="163"/>
      <c r="L281" s="90">
        <v>0</v>
      </c>
      <c r="M281" s="90">
        <v>0</v>
      </c>
      <c r="N281" s="90">
        <v>0</v>
      </c>
      <c r="O281" s="90">
        <f t="shared" si="124"/>
        <v>0</v>
      </c>
      <c r="P281" s="90">
        <f t="shared" si="125"/>
        <v>0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9.5" hidden="1">
      <c r="A282" s="152"/>
      <c r="B282" s="39"/>
      <c r="C282" s="160"/>
      <c r="D282" s="39"/>
      <c r="E282" s="218" t="s">
        <v>37</v>
      </c>
      <c r="F282" s="39"/>
      <c r="G282" s="153"/>
      <c r="H282" s="161" t="s">
        <v>12</v>
      </c>
      <c r="I282" s="162"/>
      <c r="J282" s="162"/>
      <c r="K282" s="163"/>
      <c r="L282" s="90">
        <f ca="1">IFERROR(__xludf.DUMMYFUNCTION("IMPORTRANGE(""https://docs.google.com/spreadsheets/d/1MeEWN-I1oV_STSDYn1IFDPWt_1FKiwhDph83XaGc0o0/edit?usp=sharing"",""งบพรบ!DI73"")"),0)</f>
        <v>0</v>
      </c>
      <c r="M282" s="90">
        <f ca="1">IFERROR(__xludf.DUMMYFUNCTION("IMPORTRANGE(""https://docs.google.com/spreadsheets/d/1MeEWN-I1oV_STSDYn1IFDPWt_1FKiwhDph83XaGc0o0/edit?usp=sharing"",""งบพรบ!DN73"")"),0)</f>
        <v>0</v>
      </c>
      <c r="N282" s="90">
        <f ca="1">IFERROR(__xludf.DUMMYFUNCTION("IMPORTRANGE(""https://docs.google.com/spreadsheets/d/1MeEWN-I1oV_STSDYn1IFDPWt_1FKiwhDph83XaGc0o0/edit?usp=sharing"",""งบพรบ!DP73"")"),0)</f>
        <v>0</v>
      </c>
      <c r="O282" s="90">
        <f t="shared" ca="1" si="124"/>
        <v>0</v>
      </c>
      <c r="P282" s="90">
        <f t="shared" ca="1" si="125"/>
        <v>0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hidden="1">
      <c r="A283" s="155"/>
      <c r="B283" s="32"/>
      <c r="C283" s="276"/>
      <c r="D283" s="33" t="s">
        <v>21</v>
      </c>
      <c r="E283" s="32"/>
      <c r="F283" s="32"/>
      <c r="G283" s="34"/>
      <c r="H283" s="164" t="s">
        <v>12</v>
      </c>
      <c r="I283" s="180"/>
      <c r="J283" s="180"/>
      <c r="K283" s="159"/>
      <c r="L283" s="495">
        <f t="shared" ref="L283:N283" ca="1" si="128">L284+L285</f>
        <v>0</v>
      </c>
      <c r="M283" s="495">
        <f t="shared" ca="1" si="128"/>
        <v>0</v>
      </c>
      <c r="N283" s="495">
        <f t="shared" ca="1" si="128"/>
        <v>0</v>
      </c>
      <c r="O283" s="495">
        <f t="shared" ca="1" si="124"/>
        <v>0</v>
      </c>
      <c r="P283" s="495">
        <f t="shared" ca="1" si="125"/>
        <v>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9.5" hidden="1">
      <c r="A284" s="152"/>
      <c r="B284" s="39"/>
      <c r="C284" s="160"/>
      <c r="D284" s="39"/>
      <c r="E284" s="218" t="s">
        <v>18</v>
      </c>
      <c r="F284" s="39"/>
      <c r="G284" s="153"/>
      <c r="H284" s="161" t="s">
        <v>12</v>
      </c>
      <c r="I284" s="162"/>
      <c r="J284" s="162"/>
      <c r="K284" s="163"/>
      <c r="L284" s="90">
        <v>0</v>
      </c>
      <c r="M284" s="90">
        <v>0</v>
      </c>
      <c r="N284" s="90">
        <v>0</v>
      </c>
      <c r="O284" s="90">
        <f t="shared" si="124"/>
        <v>0</v>
      </c>
      <c r="P284" s="90">
        <f t="shared" si="125"/>
        <v>0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9.5" hidden="1">
      <c r="A285" s="152"/>
      <c r="B285" s="39"/>
      <c r="C285" s="160"/>
      <c r="D285" s="39"/>
      <c r="E285" s="218" t="s">
        <v>19</v>
      </c>
      <c r="F285" s="39"/>
      <c r="G285" s="153"/>
      <c r="H285" s="165" t="s">
        <v>12</v>
      </c>
      <c r="I285" s="162"/>
      <c r="J285" s="162"/>
      <c r="K285" s="163"/>
      <c r="L285" s="90">
        <f ca="1">IFERROR(__xludf.DUMMYFUNCTION("IMPORTRANGE(""https://docs.google.com/spreadsheets/d/1MeEWN-I1oV_STSDYn1IFDPWt_1FKiwhDph83XaGc0o0/edit?usp=sharing"",""งบพรบ!DL73"")"),0)</f>
        <v>0</v>
      </c>
      <c r="M285" s="90">
        <f ca="1">IFERROR(__xludf.DUMMYFUNCTION("IMPORTRANGE(""https://docs.google.com/spreadsheets/d/1MeEWN-I1oV_STSDYn1IFDPWt_1FKiwhDph83XaGc0o0/edit?usp=sharing"",""งบพรบ!DO73"")"),0)</f>
        <v>0</v>
      </c>
      <c r="N285" s="90">
        <f ca="1">IFERROR(__xludf.DUMMYFUNCTION("IMPORTRANGE(""https://docs.google.com/spreadsheets/d/1MeEWN-I1oV_STSDYn1IFDPWt_1FKiwhDph83XaGc0o0/edit?usp=sharing"",""งบพรบ!DQ73"")"),0)</f>
        <v>0</v>
      </c>
      <c r="O285" s="90">
        <f t="shared" ca="1" si="124"/>
        <v>0</v>
      </c>
      <c r="P285" s="90">
        <f t="shared" ca="1" si="125"/>
        <v>0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9.5" hidden="1">
      <c r="A286" s="166"/>
      <c r="B286" s="167"/>
      <c r="C286" s="160" t="s">
        <v>16</v>
      </c>
      <c r="D286" s="826" t="s">
        <v>38</v>
      </c>
      <c r="E286" s="169"/>
      <c r="F286" s="169"/>
      <c r="G286" s="170"/>
      <c r="H286" s="752"/>
      <c r="I286" s="180"/>
      <c r="J286" s="180"/>
      <c r="K286" s="159"/>
      <c r="L286" s="159"/>
      <c r="M286" s="159"/>
      <c r="N286" s="159"/>
      <c r="O286" s="159"/>
      <c r="P286" s="159"/>
    </row>
    <row r="287" spans="1:26" ht="18.75" hidden="1">
      <c r="A287" s="166"/>
      <c r="B287" s="167"/>
      <c r="C287" s="167"/>
      <c r="D287" s="618" t="s">
        <v>129</v>
      </c>
      <c r="E287" s="167"/>
      <c r="F287" s="174"/>
      <c r="G287" s="175"/>
      <c r="H287" s="181" t="s">
        <v>46</v>
      </c>
      <c r="I287" s="264">
        <f ca="1">IFERROR(__xludf.DUMMYFUNCTION("IMPORTRANGE(""https://docs.google.com/spreadsheets/d/1QqKyyYR6Q21VydFLVH3TRQUabQu_ym0Zz7PgGX0-kHA/edit?usp=sharing"",""แผน!EC73"")"),0)</f>
        <v>0</v>
      </c>
      <c r="J287" s="264">
        <v>0</v>
      </c>
      <c r="K287" s="159">
        <f t="shared" ref="K287:K288" ca="1" si="129">IF(I287&gt;0,J287*100/I287,0)</f>
        <v>0</v>
      </c>
      <c r="L287" s="159"/>
      <c r="M287" s="159"/>
      <c r="N287" s="159"/>
      <c r="O287" s="159"/>
      <c r="P287" s="159"/>
    </row>
    <row r="288" spans="1:26" ht="19.5" hidden="1">
      <c r="A288" s="166"/>
      <c r="B288" s="167"/>
      <c r="C288" s="167"/>
      <c r="D288" s="618" t="s">
        <v>130</v>
      </c>
      <c r="E288" s="167"/>
      <c r="F288" s="174"/>
      <c r="G288" s="175"/>
      <c r="H288" s="176" t="s">
        <v>35</v>
      </c>
      <c r="I288" s="673">
        <f ca="1">IFERROR(__xludf.DUMMYFUNCTION("IMPORTRANGE(""https://docs.google.com/spreadsheets/d/1QqKyyYR6Q21VydFLVH3TRQUabQu_ym0Zz7PgGX0-kHA/edit?usp=sharing"",""แผน!EB73"")"),0)</f>
        <v>0</v>
      </c>
      <c r="J288" s="673">
        <f ca="1">IF(AND(J291&gt;=I288,J294&gt;=I288),J294,0)</f>
        <v>0</v>
      </c>
      <c r="K288" s="409">
        <f t="shared" ca="1" si="129"/>
        <v>0</v>
      </c>
      <c r="L288" s="159"/>
      <c r="M288" s="159"/>
      <c r="N288" s="159"/>
      <c r="O288" s="159"/>
      <c r="P288" s="159"/>
    </row>
    <row r="289" spans="1:26" ht="19.5" hidden="1">
      <c r="A289" s="166"/>
      <c r="B289" s="167"/>
      <c r="C289" s="167"/>
      <c r="D289" s="410"/>
      <c r="E289" s="411" t="s">
        <v>131</v>
      </c>
      <c r="F289" s="174"/>
      <c r="G289" s="175"/>
      <c r="H289" s="754"/>
      <c r="I289" s="180"/>
      <c r="J289" s="264"/>
      <c r="K289" s="159"/>
      <c r="L289" s="159"/>
      <c r="M289" s="159"/>
      <c r="N289" s="159"/>
      <c r="O289" s="159"/>
      <c r="P289" s="159"/>
    </row>
    <row r="290" spans="1:26" ht="19.5" hidden="1">
      <c r="A290" s="166"/>
      <c r="B290" s="167"/>
      <c r="C290" s="167"/>
      <c r="D290" s="410"/>
      <c r="E290" s="618" t="s">
        <v>132</v>
      </c>
      <c r="F290" s="174"/>
      <c r="G290" s="175"/>
      <c r="H290" s="754" t="s">
        <v>35</v>
      </c>
      <c r="I290" s="180">
        <f ca="1">IFERROR(__xludf.DUMMYFUNCTION("IMPORTRANGE(""https://docs.google.com/spreadsheets/d/1QqKyyYR6Q21VydFLVH3TRQUabQu_ym0Zz7PgGX0-kHA/edit?usp=sharing"",""แผน!EB73"")"),0)</f>
        <v>0</v>
      </c>
      <c r="J290" s="210">
        <v>0</v>
      </c>
      <c r="K290" s="159">
        <f t="shared" ref="K290:K291" ca="1" si="130">IF(I290&gt;0,J290*100/I290,0)</f>
        <v>0</v>
      </c>
      <c r="L290" s="159"/>
      <c r="M290" s="159"/>
      <c r="N290" s="159"/>
      <c r="O290" s="159"/>
      <c r="P290" s="159"/>
    </row>
    <row r="291" spans="1:26" ht="19.5" hidden="1">
      <c r="A291" s="166"/>
      <c r="B291" s="167"/>
      <c r="C291" s="167"/>
      <c r="D291" s="174"/>
      <c r="E291" s="618" t="s">
        <v>333</v>
      </c>
      <c r="F291" s="174"/>
      <c r="G291" s="175"/>
      <c r="H291" s="754" t="s">
        <v>35</v>
      </c>
      <c r="I291" s="180">
        <f ca="1">IFERROR(__xludf.DUMMYFUNCTION("IMPORTRANGE(""https://docs.google.com/spreadsheets/d/1QqKyyYR6Q21VydFLVH3TRQUabQu_ym0Zz7PgGX0-kHA/edit?usp=sharing"",""แผน!EB73"")"),0)</f>
        <v>0</v>
      </c>
      <c r="J291" s="210">
        <v>0</v>
      </c>
      <c r="K291" s="159">
        <f t="shared" ca="1" si="130"/>
        <v>0</v>
      </c>
      <c r="L291" s="159"/>
      <c r="M291" s="159"/>
      <c r="N291" s="159"/>
      <c r="O291" s="159"/>
      <c r="P291" s="159"/>
    </row>
    <row r="292" spans="1:26" ht="19.5" hidden="1">
      <c r="A292" s="412"/>
      <c r="B292" s="413"/>
      <c r="C292" s="413"/>
      <c r="D292" s="414"/>
      <c r="E292" s="415" t="s">
        <v>134</v>
      </c>
      <c r="F292" s="282"/>
      <c r="G292" s="283"/>
      <c r="H292" s="416"/>
      <c r="I292" s="417"/>
      <c r="J292" s="418"/>
      <c r="K292" s="274"/>
      <c r="L292" s="274"/>
      <c r="M292" s="274"/>
      <c r="N292" s="274"/>
      <c r="O292" s="274"/>
      <c r="P292" s="274"/>
    </row>
    <row r="293" spans="1:26" ht="19.5" hidden="1">
      <c r="A293" s="166"/>
      <c r="B293" s="167"/>
      <c r="C293" s="167"/>
      <c r="D293" s="410"/>
      <c r="E293" s="618" t="s">
        <v>132</v>
      </c>
      <c r="F293" s="174"/>
      <c r="G293" s="175"/>
      <c r="H293" s="754" t="s">
        <v>35</v>
      </c>
      <c r="I293" s="180">
        <f ca="1">IFERROR(__xludf.DUMMYFUNCTION("IMPORTRANGE(""https://docs.google.com/spreadsheets/d/1QqKyyYR6Q21VydFLVH3TRQUabQu_ym0Zz7PgGX0-kHA/edit?usp=sharing"",""แผน!EB73"")"),0)</f>
        <v>0</v>
      </c>
      <c r="J293" s="210">
        <v>0</v>
      </c>
      <c r="K293" s="159">
        <f t="shared" ref="K293:K294" ca="1" si="131">IF(I293&gt;0,J293*100/I293,0)</f>
        <v>0</v>
      </c>
      <c r="L293" s="159"/>
      <c r="M293" s="159"/>
      <c r="N293" s="159"/>
      <c r="O293" s="159"/>
      <c r="P293" s="159"/>
    </row>
    <row r="294" spans="1:26" ht="19.5" hidden="1">
      <c r="A294" s="375"/>
      <c r="B294" s="376"/>
      <c r="C294" s="376"/>
      <c r="D294" s="378"/>
      <c r="E294" s="724" t="s">
        <v>333</v>
      </c>
      <c r="F294" s="378"/>
      <c r="G294" s="379"/>
      <c r="H294" s="420" t="s">
        <v>35</v>
      </c>
      <c r="I294" s="421">
        <f ca="1">IFERROR(__xludf.DUMMYFUNCTION("IMPORTRANGE(""https://docs.google.com/spreadsheets/d/1QqKyyYR6Q21VydFLVH3TRQUabQu_ym0Zz7PgGX0-kHA/edit?usp=sharing"",""แผน!EB73"")"),0)</f>
        <v>0</v>
      </c>
      <c r="J294" s="422">
        <v>0</v>
      </c>
      <c r="K294" s="382">
        <f t="shared" ca="1" si="131"/>
        <v>0</v>
      </c>
      <c r="L294" s="382"/>
      <c r="M294" s="382"/>
      <c r="N294" s="382"/>
      <c r="O294" s="382"/>
      <c r="P294" s="382"/>
    </row>
    <row r="295" spans="1:26" ht="19.5">
      <c r="A295" s="423" t="s">
        <v>137</v>
      </c>
      <c r="B295" s="424"/>
      <c r="C295" s="424"/>
      <c r="D295" s="424"/>
      <c r="E295" s="425"/>
      <c r="F295" s="425"/>
      <c r="G295" s="426"/>
      <c r="H295" s="427"/>
      <c r="I295" s="428"/>
      <c r="J295" s="428"/>
      <c r="K295" s="429"/>
      <c r="L295" s="429"/>
      <c r="M295" s="429"/>
      <c r="N295" s="429"/>
      <c r="O295" s="429"/>
      <c r="P295" s="429"/>
    </row>
    <row r="296" spans="1:26" ht="19.5" hidden="1">
      <c r="A296" s="430" t="s">
        <v>138</v>
      </c>
      <c r="B296" s="431"/>
      <c r="C296" s="431"/>
      <c r="D296" s="432"/>
      <c r="E296" s="432"/>
      <c r="F296" s="432"/>
      <c r="G296" s="433"/>
      <c r="H296" s="434"/>
      <c r="I296" s="435"/>
      <c r="J296" s="435"/>
      <c r="K296" s="436"/>
      <c r="L296" s="436"/>
      <c r="M296" s="436"/>
      <c r="N296" s="436"/>
      <c r="O296" s="436"/>
      <c r="P296" s="436"/>
    </row>
    <row r="297" spans="1:26" ht="19.5" hidden="1">
      <c r="A297" s="437"/>
      <c r="B297" s="438" t="s">
        <v>139</v>
      </c>
      <c r="C297" s="439"/>
      <c r="D297" s="439"/>
      <c r="E297" s="439"/>
      <c r="F297" s="439"/>
      <c r="G297" s="440"/>
      <c r="H297" s="441" t="s">
        <v>35</v>
      </c>
      <c r="I297" s="442">
        <f t="shared" ref="I297:J297" ca="1" si="132">I309</f>
        <v>0</v>
      </c>
      <c r="J297" s="442">
        <f t="shared" si="132"/>
        <v>0</v>
      </c>
      <c r="K297" s="443">
        <f ca="1">IF(I297&gt;0,J297*100/I297,0)</f>
        <v>0</v>
      </c>
      <c r="L297" s="444"/>
      <c r="M297" s="444"/>
      <c r="N297" s="444"/>
      <c r="O297" s="444"/>
      <c r="P297" s="444"/>
    </row>
    <row r="298" spans="1:26" ht="19.5" hidden="1">
      <c r="A298" s="143"/>
      <c r="B298" s="144"/>
      <c r="C298" s="145" t="s">
        <v>16</v>
      </c>
      <c r="D298" s="825" t="s">
        <v>17</v>
      </c>
      <c r="E298" s="144"/>
      <c r="F298" s="144"/>
      <c r="G298" s="147"/>
      <c r="H298" s="148" t="s">
        <v>12</v>
      </c>
      <c r="I298" s="418"/>
      <c r="J298" s="418"/>
      <c r="K298" s="150"/>
      <c r="L298" s="151">
        <f t="shared" ref="L298:N298" ca="1" si="133">L299+L300</f>
        <v>0</v>
      </c>
      <c r="M298" s="151">
        <f t="shared" ca="1" si="133"/>
        <v>0</v>
      </c>
      <c r="N298" s="151">
        <f t="shared" ca="1" si="133"/>
        <v>0</v>
      </c>
      <c r="O298" s="151">
        <f t="shared" ref="O298:O306" ca="1" si="134">IF(L298&gt;0,N298*100/L298,0)</f>
        <v>0</v>
      </c>
      <c r="P298" s="151">
        <f t="shared" ref="P298:P306" ca="1" si="135">IF(M298&gt;0,N298*100/M298,0)</f>
        <v>0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8.75" hidden="1">
      <c r="A299" s="152"/>
      <c r="B299" s="39"/>
      <c r="C299" s="39"/>
      <c r="D299" s="39"/>
      <c r="E299" s="218" t="s">
        <v>18</v>
      </c>
      <c r="F299" s="39"/>
      <c r="G299" s="153"/>
      <c r="H299" s="154" t="s">
        <v>12</v>
      </c>
      <c r="I299" s="609"/>
      <c r="J299" s="609"/>
      <c r="K299" s="90"/>
      <c r="L299" s="90">
        <f t="shared" ref="L299:N300" si="136">L302+L305</f>
        <v>0</v>
      </c>
      <c r="M299" s="90">
        <f t="shared" si="136"/>
        <v>0</v>
      </c>
      <c r="N299" s="90">
        <f t="shared" si="136"/>
        <v>0</v>
      </c>
      <c r="O299" s="90">
        <f t="shared" si="134"/>
        <v>0</v>
      </c>
      <c r="P299" s="90">
        <f t="shared" si="135"/>
        <v>0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hidden="1">
      <c r="A300" s="152"/>
      <c r="B300" s="39"/>
      <c r="C300" s="39"/>
      <c r="D300" s="39"/>
      <c r="E300" s="218" t="s">
        <v>19</v>
      </c>
      <c r="F300" s="39"/>
      <c r="G300" s="153"/>
      <c r="H300" s="154" t="s">
        <v>12</v>
      </c>
      <c r="I300" s="609"/>
      <c r="J300" s="609"/>
      <c r="K300" s="90"/>
      <c r="L300" s="90">
        <f t="shared" ca="1" si="136"/>
        <v>0</v>
      </c>
      <c r="M300" s="90">
        <f t="shared" ca="1" si="136"/>
        <v>0</v>
      </c>
      <c r="N300" s="90">
        <f t="shared" ca="1" si="136"/>
        <v>0</v>
      </c>
      <c r="O300" s="90">
        <f t="shared" ca="1" si="134"/>
        <v>0</v>
      </c>
      <c r="P300" s="90">
        <f t="shared" ca="1" si="135"/>
        <v>0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hidden="1">
      <c r="A301" s="155"/>
      <c r="B301" s="32"/>
      <c r="C301" s="276"/>
      <c r="D301" s="33" t="s">
        <v>20</v>
      </c>
      <c r="E301" s="32"/>
      <c r="F301" s="32"/>
      <c r="G301" s="34"/>
      <c r="H301" s="157" t="s">
        <v>12</v>
      </c>
      <c r="I301" s="180"/>
      <c r="J301" s="180"/>
      <c r="K301" s="159"/>
      <c r="L301" s="495">
        <f t="shared" ref="L301:N301" ca="1" si="137">L302+L303</f>
        <v>0</v>
      </c>
      <c r="M301" s="495">
        <f t="shared" ca="1" si="137"/>
        <v>0</v>
      </c>
      <c r="N301" s="495">
        <f t="shared" ca="1" si="137"/>
        <v>0</v>
      </c>
      <c r="O301" s="495">
        <f t="shared" ca="1" si="134"/>
        <v>0</v>
      </c>
      <c r="P301" s="495">
        <f t="shared" ca="1" si="135"/>
        <v>0</v>
      </c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9.5" hidden="1">
      <c r="A302" s="152"/>
      <c r="B302" s="39"/>
      <c r="C302" s="160"/>
      <c r="D302" s="39"/>
      <c r="E302" s="218" t="s">
        <v>36</v>
      </c>
      <c r="F302" s="39"/>
      <c r="G302" s="153"/>
      <c r="H302" s="161" t="s">
        <v>12</v>
      </c>
      <c r="I302" s="162"/>
      <c r="J302" s="162"/>
      <c r="K302" s="163"/>
      <c r="L302" s="90">
        <v>0</v>
      </c>
      <c r="M302" s="90">
        <v>0</v>
      </c>
      <c r="N302" s="90">
        <v>0</v>
      </c>
      <c r="O302" s="90">
        <f t="shared" si="134"/>
        <v>0</v>
      </c>
      <c r="P302" s="90">
        <f t="shared" si="135"/>
        <v>0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9.5" hidden="1">
      <c r="A303" s="152"/>
      <c r="B303" s="39"/>
      <c r="C303" s="160"/>
      <c r="D303" s="39"/>
      <c r="E303" s="218" t="s">
        <v>37</v>
      </c>
      <c r="F303" s="39"/>
      <c r="G303" s="153"/>
      <c r="H303" s="161" t="s">
        <v>12</v>
      </c>
      <c r="I303" s="162"/>
      <c r="J303" s="162"/>
      <c r="K303" s="163"/>
      <c r="L303" s="90">
        <f ca="1">IFERROR(__xludf.DUMMYFUNCTION("IMPORTRANGE(""https://docs.google.com/spreadsheets/d/1MeEWN-I1oV_STSDYn1IFDPWt_1FKiwhDph83XaGc0o0/edit?usp=sharing"",""งบพรบ!DS73"")"),0)</f>
        <v>0</v>
      </c>
      <c r="M303" s="90">
        <f ca="1">IFERROR(__xludf.DUMMYFUNCTION("IMPORTRANGE(""https://docs.google.com/spreadsheets/d/1MeEWN-I1oV_STSDYn1IFDPWt_1FKiwhDph83XaGc0o0/edit?usp=sharing"",""งบพรบ!DX73"")"),0)</f>
        <v>0</v>
      </c>
      <c r="N303" s="90">
        <f ca="1">IFERROR(__xludf.DUMMYFUNCTION("IMPORTRANGE(""https://docs.google.com/spreadsheets/d/1MeEWN-I1oV_STSDYn1IFDPWt_1FKiwhDph83XaGc0o0/edit?usp=sharing"",""งบพรบ!DZ73"")"),0)</f>
        <v>0</v>
      </c>
      <c r="O303" s="90">
        <f t="shared" ca="1" si="134"/>
        <v>0</v>
      </c>
      <c r="P303" s="90">
        <f t="shared" ca="1" si="135"/>
        <v>0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hidden="1">
      <c r="A304" s="155"/>
      <c r="B304" s="32"/>
      <c r="C304" s="276"/>
      <c r="D304" s="33" t="s">
        <v>21</v>
      </c>
      <c r="E304" s="32"/>
      <c r="F304" s="32"/>
      <c r="G304" s="34"/>
      <c r="H304" s="164" t="s">
        <v>12</v>
      </c>
      <c r="I304" s="180"/>
      <c r="J304" s="180"/>
      <c r="K304" s="159"/>
      <c r="L304" s="495">
        <f t="shared" ref="L304:N304" ca="1" si="138">L305+L306</f>
        <v>0</v>
      </c>
      <c r="M304" s="495">
        <f t="shared" ca="1" si="138"/>
        <v>0</v>
      </c>
      <c r="N304" s="495">
        <f t="shared" ca="1" si="138"/>
        <v>0</v>
      </c>
      <c r="O304" s="495">
        <f t="shared" ca="1" si="134"/>
        <v>0</v>
      </c>
      <c r="P304" s="495">
        <f t="shared" ca="1" si="135"/>
        <v>0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9.5" hidden="1">
      <c r="A305" s="152"/>
      <c r="B305" s="39"/>
      <c r="C305" s="160"/>
      <c r="D305" s="39"/>
      <c r="E305" s="218" t="s">
        <v>18</v>
      </c>
      <c r="F305" s="39"/>
      <c r="G305" s="153"/>
      <c r="H305" s="161" t="s">
        <v>12</v>
      </c>
      <c r="I305" s="162"/>
      <c r="J305" s="162"/>
      <c r="K305" s="163"/>
      <c r="L305" s="90">
        <v>0</v>
      </c>
      <c r="M305" s="90">
        <v>0</v>
      </c>
      <c r="N305" s="90">
        <v>0</v>
      </c>
      <c r="O305" s="90">
        <f t="shared" si="134"/>
        <v>0</v>
      </c>
      <c r="P305" s="90">
        <f t="shared" si="135"/>
        <v>0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9.5" hidden="1">
      <c r="A306" s="152"/>
      <c r="B306" s="39"/>
      <c r="C306" s="160"/>
      <c r="D306" s="39"/>
      <c r="E306" s="218" t="s">
        <v>19</v>
      </c>
      <c r="F306" s="39"/>
      <c r="G306" s="153"/>
      <c r="H306" s="165" t="s">
        <v>12</v>
      </c>
      <c r="I306" s="162"/>
      <c r="J306" s="162"/>
      <c r="K306" s="163"/>
      <c r="L306" s="90">
        <f ca="1">IFERROR(__xludf.DUMMYFUNCTION("IMPORTRANGE(""https://docs.google.com/spreadsheets/d/1MeEWN-I1oV_STSDYn1IFDPWt_1FKiwhDph83XaGc0o0/edit?usp=sharing"",""งบพรบ!DV73"")"),0)</f>
        <v>0</v>
      </c>
      <c r="M306" s="90">
        <f ca="1">IFERROR(__xludf.DUMMYFUNCTION("IMPORTRANGE(""https://docs.google.com/spreadsheets/d/1MeEWN-I1oV_STSDYn1IFDPWt_1FKiwhDph83XaGc0o0/edit?usp=sharing"",""งบพรบ!DY73"")"),0)</f>
        <v>0</v>
      </c>
      <c r="N306" s="90">
        <f ca="1">IFERROR(__xludf.DUMMYFUNCTION("IMPORTRANGE(""https://docs.google.com/spreadsheets/d/1MeEWN-I1oV_STSDYn1IFDPWt_1FKiwhDph83XaGc0o0/edit?usp=sharing"",""งบพรบ!EA73"")"),0)</f>
        <v>0</v>
      </c>
      <c r="O306" s="90">
        <f t="shared" ca="1" si="134"/>
        <v>0</v>
      </c>
      <c r="P306" s="90">
        <f t="shared" ca="1" si="135"/>
        <v>0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9.5" hidden="1">
      <c r="A307" s="166"/>
      <c r="B307" s="167"/>
      <c r="C307" s="160" t="s">
        <v>16</v>
      </c>
      <c r="D307" s="826" t="s">
        <v>38</v>
      </c>
      <c r="E307" s="169"/>
      <c r="F307" s="169"/>
      <c r="G307" s="170"/>
      <c r="H307" s="752"/>
      <c r="I307" s="264"/>
      <c r="J307" s="264"/>
      <c r="K307" s="495"/>
      <c r="L307" s="495"/>
      <c r="M307" s="495"/>
      <c r="N307" s="495"/>
      <c r="O307" s="495"/>
      <c r="P307" s="495"/>
    </row>
    <row r="308" spans="1:26" ht="18.75" hidden="1">
      <c r="A308" s="166"/>
      <c r="B308" s="167"/>
      <c r="C308" s="167"/>
      <c r="D308" s="445" t="s">
        <v>140</v>
      </c>
      <c r="E308" s="445"/>
      <c r="F308" s="445"/>
      <c r="G308" s="175"/>
      <c r="H308" s="754"/>
      <c r="I308" s="264"/>
      <c r="J308" s="210">
        <v>0</v>
      </c>
      <c r="K308" s="495"/>
      <c r="L308" s="495"/>
      <c r="M308" s="495"/>
      <c r="N308" s="495"/>
      <c r="O308" s="495"/>
      <c r="P308" s="495"/>
    </row>
    <row r="309" spans="1:26" ht="18.75" hidden="1">
      <c r="A309" s="166"/>
      <c r="B309" s="167"/>
      <c r="C309" s="167"/>
      <c r="D309" s="445" t="s">
        <v>141</v>
      </c>
      <c r="E309" s="445"/>
      <c r="F309" s="445"/>
      <c r="G309" s="175"/>
      <c r="H309" s="754" t="s">
        <v>35</v>
      </c>
      <c r="I309" s="264">
        <f ca="1">IFERROR(__xludf.DUMMYFUNCTION("IMPORTRANGE(""https://docs.google.com/spreadsheets/d/1QqKyyYR6Q21VydFLVH3TRQUabQu_ym0Zz7PgGX0-kHA/edit?usp=sharing"",""แผน!ED73"")"),0)</f>
        <v>0</v>
      </c>
      <c r="J309" s="210">
        <v>0</v>
      </c>
      <c r="K309" s="495">
        <f t="shared" ref="K309:K312" ca="1" si="139">IF(I309&gt;0,J309*100/I309,0)</f>
        <v>0</v>
      </c>
      <c r="L309" s="495"/>
      <c r="M309" s="495"/>
      <c r="N309" s="495"/>
      <c r="O309" s="495"/>
      <c r="P309" s="495"/>
    </row>
    <row r="310" spans="1:26" ht="18.75" hidden="1">
      <c r="A310" s="166"/>
      <c r="B310" s="167"/>
      <c r="C310" s="167"/>
      <c r="D310" s="445" t="s">
        <v>142</v>
      </c>
      <c r="E310" s="445"/>
      <c r="F310" s="445"/>
      <c r="G310" s="175"/>
      <c r="H310" s="754" t="s">
        <v>35</v>
      </c>
      <c r="I310" s="264">
        <f ca="1">IFERROR(__xludf.DUMMYFUNCTION("IMPORTRANGE(""https://docs.google.com/spreadsheets/d/1QqKyyYR6Q21VydFLVH3TRQUabQu_ym0Zz7PgGX0-kHA/edit?usp=sharing"",""แผน!ED73"")"),0)</f>
        <v>0</v>
      </c>
      <c r="J310" s="210">
        <v>0</v>
      </c>
      <c r="K310" s="495">
        <f t="shared" ca="1" si="139"/>
        <v>0</v>
      </c>
      <c r="L310" s="495"/>
      <c r="M310" s="495"/>
      <c r="N310" s="495"/>
      <c r="O310" s="495"/>
      <c r="P310" s="495"/>
    </row>
    <row r="311" spans="1:26" ht="18.75" hidden="1">
      <c r="A311" s="166"/>
      <c r="B311" s="167"/>
      <c r="C311" s="167"/>
      <c r="D311" s="445" t="s">
        <v>59</v>
      </c>
      <c r="E311" s="445"/>
      <c r="F311" s="445"/>
      <c r="G311" s="175"/>
      <c r="H311" s="754" t="s">
        <v>35</v>
      </c>
      <c r="I311" s="264">
        <f ca="1">IFERROR(__xludf.DUMMYFUNCTION("IMPORTRANGE(""https://docs.google.com/spreadsheets/d/1QqKyyYR6Q21VydFLVH3TRQUabQu_ym0Zz7PgGX0-kHA/edit?usp=sharing"",""แผน!ED73"")"),0)</f>
        <v>0</v>
      </c>
      <c r="J311" s="210">
        <v>0</v>
      </c>
      <c r="K311" s="495">
        <f t="shared" ca="1" si="139"/>
        <v>0</v>
      </c>
      <c r="L311" s="495"/>
      <c r="M311" s="495"/>
      <c r="N311" s="495"/>
      <c r="O311" s="495"/>
      <c r="P311" s="495"/>
    </row>
    <row r="312" spans="1:26" ht="18.75" hidden="1">
      <c r="A312" s="166"/>
      <c r="B312" s="167"/>
      <c r="C312" s="167"/>
      <c r="D312" s="445" t="s">
        <v>143</v>
      </c>
      <c r="E312" s="445"/>
      <c r="F312" s="445"/>
      <c r="G312" s="175"/>
      <c r="H312" s="754" t="s">
        <v>35</v>
      </c>
      <c r="I312" s="264">
        <f ca="1">IFERROR(__xludf.DUMMYFUNCTION("IMPORTRANGE(""https://docs.google.com/spreadsheets/d/1QqKyyYR6Q21VydFLVH3TRQUabQu_ym0Zz7PgGX0-kHA/edit?usp=sharing"",""แผน!EE73"")"),0)</f>
        <v>0</v>
      </c>
      <c r="J312" s="210">
        <v>0</v>
      </c>
      <c r="K312" s="495">
        <f t="shared" ca="1" si="139"/>
        <v>0</v>
      </c>
      <c r="L312" s="495"/>
      <c r="M312" s="495"/>
      <c r="N312" s="495"/>
      <c r="O312" s="495"/>
      <c r="P312" s="495"/>
    </row>
    <row r="313" spans="1:26" ht="19.5" hidden="1">
      <c r="A313" s="430" t="s">
        <v>144</v>
      </c>
      <c r="B313" s="431"/>
      <c r="C313" s="431"/>
      <c r="D313" s="432"/>
      <c r="E313" s="431"/>
      <c r="F313" s="431"/>
      <c r="G313" s="431"/>
      <c r="H313" s="447"/>
      <c r="I313" s="435"/>
      <c r="J313" s="435"/>
      <c r="K313" s="436"/>
      <c r="L313" s="436"/>
      <c r="M313" s="436"/>
      <c r="N313" s="436"/>
      <c r="O313" s="436"/>
      <c r="P313" s="436"/>
    </row>
    <row r="314" spans="1:26" ht="19.5" hidden="1">
      <c r="A314" s="448"/>
      <c r="B314" s="438" t="s">
        <v>145</v>
      </c>
      <c r="C314" s="449"/>
      <c r="D314" s="450"/>
      <c r="E314" s="439"/>
      <c r="F314" s="439"/>
      <c r="G314" s="440"/>
      <c r="H314" s="441" t="s">
        <v>146</v>
      </c>
      <c r="I314" s="442">
        <f t="shared" ref="I314:J314" ca="1" si="140">I325</f>
        <v>0</v>
      </c>
      <c r="J314" s="442">
        <f t="shared" si="140"/>
        <v>0</v>
      </c>
      <c r="K314" s="443">
        <f ca="1">IF(I314&gt;0,J314*100/I314,0)</f>
        <v>0</v>
      </c>
      <c r="L314" s="444"/>
      <c r="M314" s="444"/>
      <c r="N314" s="444"/>
      <c r="O314" s="444"/>
      <c r="P314" s="444"/>
    </row>
    <row r="315" spans="1:26" ht="19.5" hidden="1">
      <c r="A315" s="143"/>
      <c r="B315" s="144"/>
      <c r="C315" s="145" t="s">
        <v>16</v>
      </c>
      <c r="D315" s="825" t="s">
        <v>17</v>
      </c>
      <c r="E315" s="144"/>
      <c r="F315" s="144"/>
      <c r="G315" s="147"/>
      <c r="H315" s="148" t="s">
        <v>12</v>
      </c>
      <c r="I315" s="418"/>
      <c r="J315" s="418"/>
      <c r="K315" s="150"/>
      <c r="L315" s="151">
        <f t="shared" ref="L315:N315" ca="1" si="141">L316+L317</f>
        <v>0</v>
      </c>
      <c r="M315" s="151">
        <f t="shared" ca="1" si="141"/>
        <v>0</v>
      </c>
      <c r="N315" s="151">
        <f t="shared" ca="1" si="141"/>
        <v>0</v>
      </c>
      <c r="O315" s="151">
        <f t="shared" ref="O315:O323" ca="1" si="142">IF(L315&gt;0,N315*100/L315,0)</f>
        <v>0</v>
      </c>
      <c r="P315" s="151">
        <f t="shared" ref="P315:P323" ca="1" si="143">IF(M315&gt;0,N315*100/M315,0)</f>
        <v>0</v>
      </c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8.75" hidden="1">
      <c r="A316" s="152"/>
      <c r="B316" s="39"/>
      <c r="C316" s="39"/>
      <c r="D316" s="39"/>
      <c r="E316" s="218" t="s">
        <v>18</v>
      </c>
      <c r="F316" s="39"/>
      <c r="G316" s="153"/>
      <c r="H316" s="154" t="s">
        <v>12</v>
      </c>
      <c r="I316" s="609"/>
      <c r="J316" s="609"/>
      <c r="K316" s="90"/>
      <c r="L316" s="90">
        <f t="shared" ref="L316:N317" si="144">L319+L322</f>
        <v>0</v>
      </c>
      <c r="M316" s="90">
        <f t="shared" si="144"/>
        <v>0</v>
      </c>
      <c r="N316" s="90">
        <f t="shared" si="144"/>
        <v>0</v>
      </c>
      <c r="O316" s="90">
        <f t="shared" si="142"/>
        <v>0</v>
      </c>
      <c r="P316" s="90">
        <f t="shared" si="143"/>
        <v>0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hidden="1">
      <c r="A317" s="152"/>
      <c r="B317" s="39"/>
      <c r="C317" s="39"/>
      <c r="D317" s="39"/>
      <c r="E317" s="218" t="s">
        <v>19</v>
      </c>
      <c r="F317" s="39"/>
      <c r="G317" s="153"/>
      <c r="H317" s="154" t="s">
        <v>12</v>
      </c>
      <c r="I317" s="609"/>
      <c r="J317" s="609"/>
      <c r="K317" s="90"/>
      <c r="L317" s="90">
        <f t="shared" ca="1" si="144"/>
        <v>0</v>
      </c>
      <c r="M317" s="90">
        <f t="shared" ca="1" si="144"/>
        <v>0</v>
      </c>
      <c r="N317" s="90">
        <f t="shared" ca="1" si="144"/>
        <v>0</v>
      </c>
      <c r="O317" s="90">
        <f t="shared" ca="1" si="142"/>
        <v>0</v>
      </c>
      <c r="P317" s="90">
        <f t="shared" ca="1" si="143"/>
        <v>0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hidden="1">
      <c r="A318" s="155"/>
      <c r="B318" s="32"/>
      <c r="C318" s="276"/>
      <c r="D318" s="33" t="s">
        <v>20</v>
      </c>
      <c r="E318" s="32"/>
      <c r="F318" s="32"/>
      <c r="G318" s="34"/>
      <c r="H318" s="157" t="s">
        <v>12</v>
      </c>
      <c r="I318" s="180"/>
      <c r="J318" s="180"/>
      <c r="K318" s="159"/>
      <c r="L318" s="495">
        <f t="shared" ref="L318:N318" ca="1" si="145">L319+L320</f>
        <v>0</v>
      </c>
      <c r="M318" s="495">
        <f t="shared" ca="1" si="145"/>
        <v>0</v>
      </c>
      <c r="N318" s="495">
        <f t="shared" ca="1" si="145"/>
        <v>0</v>
      </c>
      <c r="O318" s="495">
        <f t="shared" ca="1" si="142"/>
        <v>0</v>
      </c>
      <c r="P318" s="495">
        <f t="shared" ca="1" si="143"/>
        <v>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9.5" hidden="1">
      <c r="A319" s="152"/>
      <c r="B319" s="39"/>
      <c r="C319" s="160"/>
      <c r="D319" s="39"/>
      <c r="E319" s="218" t="s">
        <v>36</v>
      </c>
      <c r="F319" s="39"/>
      <c r="G319" s="153"/>
      <c r="H319" s="161" t="s">
        <v>12</v>
      </c>
      <c r="I319" s="162"/>
      <c r="J319" s="162"/>
      <c r="K319" s="163"/>
      <c r="L319" s="90">
        <v>0</v>
      </c>
      <c r="M319" s="90">
        <v>0</v>
      </c>
      <c r="N319" s="90">
        <v>0</v>
      </c>
      <c r="O319" s="90">
        <f t="shared" si="142"/>
        <v>0</v>
      </c>
      <c r="P319" s="90">
        <f t="shared" si="143"/>
        <v>0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9.5" hidden="1">
      <c r="A320" s="152"/>
      <c r="B320" s="39"/>
      <c r="C320" s="160"/>
      <c r="D320" s="39"/>
      <c r="E320" s="218" t="s">
        <v>37</v>
      </c>
      <c r="F320" s="39"/>
      <c r="G320" s="153"/>
      <c r="H320" s="161" t="s">
        <v>12</v>
      </c>
      <c r="I320" s="162"/>
      <c r="J320" s="162"/>
      <c r="K320" s="163"/>
      <c r="L320" s="90">
        <f ca="1">IFERROR(__xludf.DUMMYFUNCTION("IMPORTRANGE(""https://docs.google.com/spreadsheets/d/1MeEWN-I1oV_STSDYn1IFDPWt_1FKiwhDph83XaGc0o0/edit?usp=sharing"",""งบพรบ!EC73"")"),0)</f>
        <v>0</v>
      </c>
      <c r="M320" s="90">
        <f ca="1">IFERROR(__xludf.DUMMYFUNCTION("IMPORTRANGE(""https://docs.google.com/spreadsheets/d/1MeEWN-I1oV_STSDYn1IFDPWt_1FKiwhDph83XaGc0o0/edit?usp=sharing"",""งบพรบ!EH73"")"),0)</f>
        <v>0</v>
      </c>
      <c r="N320" s="90">
        <f ca="1">IFERROR(__xludf.DUMMYFUNCTION("IMPORTRANGE(""https://docs.google.com/spreadsheets/d/1MeEWN-I1oV_STSDYn1IFDPWt_1FKiwhDph83XaGc0o0/edit?usp=sharing"",""งบพรบ!EJ73"")"),0)</f>
        <v>0</v>
      </c>
      <c r="O320" s="90">
        <f t="shared" ca="1" si="142"/>
        <v>0</v>
      </c>
      <c r="P320" s="90">
        <f t="shared" ca="1" si="143"/>
        <v>0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hidden="1">
      <c r="A321" s="155"/>
      <c r="B321" s="32"/>
      <c r="C321" s="276"/>
      <c r="D321" s="33" t="s">
        <v>21</v>
      </c>
      <c r="E321" s="32"/>
      <c r="F321" s="32"/>
      <c r="G321" s="34"/>
      <c r="H321" s="164" t="s">
        <v>12</v>
      </c>
      <c r="I321" s="180"/>
      <c r="J321" s="180"/>
      <c r="K321" s="159"/>
      <c r="L321" s="495">
        <f t="shared" ref="L321:N321" ca="1" si="146">L322+L323</f>
        <v>0</v>
      </c>
      <c r="M321" s="495">
        <f t="shared" ca="1" si="146"/>
        <v>0</v>
      </c>
      <c r="N321" s="495">
        <f t="shared" ca="1" si="146"/>
        <v>0</v>
      </c>
      <c r="O321" s="495">
        <f t="shared" ca="1" si="142"/>
        <v>0</v>
      </c>
      <c r="P321" s="495">
        <f t="shared" ca="1" si="143"/>
        <v>0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9.5" hidden="1">
      <c r="A322" s="152"/>
      <c r="B322" s="39"/>
      <c r="C322" s="160"/>
      <c r="D322" s="39"/>
      <c r="E322" s="218" t="s">
        <v>18</v>
      </c>
      <c r="F322" s="39"/>
      <c r="G322" s="153"/>
      <c r="H322" s="161" t="s">
        <v>12</v>
      </c>
      <c r="I322" s="162"/>
      <c r="J322" s="162"/>
      <c r="K322" s="163"/>
      <c r="L322" s="90">
        <v>0</v>
      </c>
      <c r="M322" s="90">
        <v>0</v>
      </c>
      <c r="N322" s="90">
        <v>0</v>
      </c>
      <c r="O322" s="90">
        <f t="shared" si="142"/>
        <v>0</v>
      </c>
      <c r="P322" s="90">
        <f t="shared" si="143"/>
        <v>0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9.5" hidden="1">
      <c r="A323" s="152"/>
      <c r="B323" s="39"/>
      <c r="C323" s="160"/>
      <c r="D323" s="39"/>
      <c r="E323" s="218" t="s">
        <v>19</v>
      </c>
      <c r="F323" s="39"/>
      <c r="G323" s="153"/>
      <c r="H323" s="165" t="s">
        <v>12</v>
      </c>
      <c r="I323" s="162"/>
      <c r="J323" s="162"/>
      <c r="K323" s="163"/>
      <c r="L323" s="90">
        <f ca="1">IFERROR(__xludf.DUMMYFUNCTION("IMPORTRANGE(""https://docs.google.com/spreadsheets/d/1MeEWN-I1oV_STSDYn1IFDPWt_1FKiwhDph83XaGc0o0/edit?usp=sharing"",""งบพรบ!EF73"")"),0)</f>
        <v>0</v>
      </c>
      <c r="M323" s="90">
        <f ca="1">IFERROR(__xludf.DUMMYFUNCTION("IMPORTRANGE(""https://docs.google.com/spreadsheets/d/1MeEWN-I1oV_STSDYn1IFDPWt_1FKiwhDph83XaGc0o0/edit?usp=sharing"",""งบพรบ!EI73"")"),0)</f>
        <v>0</v>
      </c>
      <c r="N323" s="90">
        <f ca="1">IFERROR(__xludf.DUMMYFUNCTION("IMPORTRANGE(""https://docs.google.com/spreadsheets/d/1MeEWN-I1oV_STSDYn1IFDPWt_1FKiwhDph83XaGc0o0/edit?usp=sharing"",""งบพรบ!EK73"")"),0)</f>
        <v>0</v>
      </c>
      <c r="O323" s="90">
        <f t="shared" ca="1" si="142"/>
        <v>0</v>
      </c>
      <c r="P323" s="90">
        <f t="shared" ca="1" si="143"/>
        <v>0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9.5" hidden="1">
      <c r="A324" s="166"/>
      <c r="B324" s="167"/>
      <c r="C324" s="160" t="s">
        <v>16</v>
      </c>
      <c r="D324" s="826" t="s">
        <v>38</v>
      </c>
      <c r="E324" s="169"/>
      <c r="F324" s="169"/>
      <c r="G324" s="170"/>
      <c r="H324" s="752"/>
      <c r="I324" s="180"/>
      <c r="J324" s="264"/>
      <c r="K324" s="495"/>
      <c r="L324" s="495"/>
      <c r="M324" s="495"/>
      <c r="N324" s="495"/>
      <c r="O324" s="159"/>
      <c r="P324" s="159"/>
    </row>
    <row r="325" spans="1:26" ht="18.75" hidden="1">
      <c r="A325" s="166"/>
      <c r="B325" s="167"/>
      <c r="C325" s="167"/>
      <c r="D325" s="172" t="s">
        <v>147</v>
      </c>
      <c r="E325" s="174"/>
      <c r="F325" s="445"/>
      <c r="G325" s="175"/>
      <c r="H325" s="615" t="s">
        <v>146</v>
      </c>
      <c r="I325" s="264">
        <f ca="1">IFERROR(__xludf.DUMMYFUNCTION("IMPORTRANGE(""https://docs.google.com/spreadsheets/d/1QqKyyYR6Q21VydFLVH3TRQUabQu_ym0Zz7PgGX0-kHA/edit?usp=sharing"",""แผน!EF73"")"),0)</f>
        <v>0</v>
      </c>
      <c r="J325" s="210">
        <v>0</v>
      </c>
      <c r="K325" s="495">
        <f ca="1">IF(I325&gt;0,J325*100/I325,0)</f>
        <v>0</v>
      </c>
      <c r="L325" s="495"/>
      <c r="M325" s="495"/>
      <c r="N325" s="495"/>
      <c r="O325" s="159"/>
      <c r="P325" s="159"/>
    </row>
    <row r="326" spans="1:26" ht="19.5">
      <c r="A326" s="430" t="s">
        <v>148</v>
      </c>
      <c r="B326" s="431"/>
      <c r="C326" s="431"/>
      <c r="D326" s="432"/>
      <c r="E326" s="431"/>
      <c r="F326" s="431"/>
      <c r="G326" s="431"/>
      <c r="H326" s="447"/>
      <c r="I326" s="435"/>
      <c r="J326" s="435"/>
      <c r="K326" s="436"/>
      <c r="L326" s="436"/>
      <c r="M326" s="436"/>
      <c r="N326" s="436"/>
      <c r="O326" s="436"/>
      <c r="P326" s="436"/>
    </row>
    <row r="327" spans="1:26" ht="19.5">
      <c r="A327" s="437"/>
      <c r="B327" s="438" t="s">
        <v>149</v>
      </c>
      <c r="C327" s="450"/>
      <c r="D327" s="439"/>
      <c r="E327" s="439"/>
      <c r="F327" s="439"/>
      <c r="G327" s="440"/>
      <c r="H327" s="441" t="s">
        <v>35</v>
      </c>
      <c r="I327" s="442">
        <f ca="1">IFERROR(__xludf.DUMMYFUNCTION("IMPORTRANGE(""https://docs.google.com/spreadsheets/d/1QqKyyYR6Q21VydFLVH3TRQUabQu_ym0Zz7PgGX0-kHA/edit?usp=sharing"",""แผน!EG73"")"),50)</f>
        <v>50</v>
      </c>
      <c r="J327" s="442">
        <f ca="1">J338+J341+J342+J343</f>
        <v>9</v>
      </c>
      <c r="K327" s="443">
        <f ca="1">IF(I327&gt;0,J327*100/I327,0)</f>
        <v>18</v>
      </c>
      <c r="L327" s="444"/>
      <c r="M327" s="444"/>
      <c r="N327" s="444"/>
      <c r="O327" s="444"/>
      <c r="P327" s="444"/>
    </row>
    <row r="328" spans="1:26" ht="19.5">
      <c r="A328" s="143"/>
      <c r="B328" s="144"/>
      <c r="C328" s="145" t="s">
        <v>16</v>
      </c>
      <c r="D328" s="825" t="s">
        <v>17</v>
      </c>
      <c r="E328" s="144"/>
      <c r="F328" s="144"/>
      <c r="G328" s="147"/>
      <c r="H328" s="148" t="s">
        <v>12</v>
      </c>
      <c r="I328" s="418"/>
      <c r="J328" s="418"/>
      <c r="K328" s="150"/>
      <c r="L328" s="151">
        <f t="shared" ref="L328:N328" ca="1" si="147">L329+L330</f>
        <v>353600</v>
      </c>
      <c r="M328" s="151">
        <f t="shared" ca="1" si="147"/>
        <v>176800</v>
      </c>
      <c r="N328" s="151">
        <f t="shared" ca="1" si="147"/>
        <v>51194</v>
      </c>
      <c r="O328" s="151">
        <f t="shared" ref="O328:O336" ca="1" si="148">IF(L328&gt;0,N328*100/L328,0)</f>
        <v>14.477941176470589</v>
      </c>
      <c r="P328" s="151">
        <f t="shared" ref="P328:P336" ca="1" si="149">IF(M328&gt;0,N328*100/M328,0)</f>
        <v>28.955882352941178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8.75" hidden="1">
      <c r="A329" s="152"/>
      <c r="B329" s="39"/>
      <c r="C329" s="39"/>
      <c r="D329" s="39"/>
      <c r="E329" s="218" t="s">
        <v>18</v>
      </c>
      <c r="F329" s="39"/>
      <c r="G329" s="153"/>
      <c r="H329" s="154" t="s">
        <v>12</v>
      </c>
      <c r="I329" s="609"/>
      <c r="J329" s="609"/>
      <c r="K329" s="90"/>
      <c r="L329" s="90">
        <f t="shared" ref="L329:N330" si="150">L332+L335</f>
        <v>0</v>
      </c>
      <c r="M329" s="90">
        <f t="shared" si="150"/>
        <v>0</v>
      </c>
      <c r="N329" s="90">
        <f t="shared" si="150"/>
        <v>0</v>
      </c>
      <c r="O329" s="90">
        <f t="shared" si="148"/>
        <v>0</v>
      </c>
      <c r="P329" s="90">
        <f t="shared" si="149"/>
        <v>0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hidden="1">
      <c r="A330" s="152"/>
      <c r="B330" s="39"/>
      <c r="C330" s="39"/>
      <c r="D330" s="39"/>
      <c r="E330" s="218" t="s">
        <v>19</v>
      </c>
      <c r="F330" s="39"/>
      <c r="G330" s="153"/>
      <c r="H330" s="154" t="s">
        <v>12</v>
      </c>
      <c r="I330" s="609"/>
      <c r="J330" s="609"/>
      <c r="K330" s="90"/>
      <c r="L330" s="90">
        <f t="shared" ca="1" si="150"/>
        <v>353600</v>
      </c>
      <c r="M330" s="90">
        <f t="shared" ca="1" si="150"/>
        <v>176800</v>
      </c>
      <c r="N330" s="90">
        <f t="shared" ca="1" si="150"/>
        <v>51194</v>
      </c>
      <c r="O330" s="90">
        <f t="shared" ca="1" si="148"/>
        <v>14.477941176470589</v>
      </c>
      <c r="P330" s="90">
        <f t="shared" ca="1" si="149"/>
        <v>28.955882352941178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>
      <c r="A331" s="155"/>
      <c r="B331" s="32"/>
      <c r="C331" s="276"/>
      <c r="D331" s="33" t="s">
        <v>20</v>
      </c>
      <c r="E331" s="32"/>
      <c r="F331" s="32"/>
      <c r="G331" s="34"/>
      <c r="H331" s="157" t="s">
        <v>12</v>
      </c>
      <c r="I331" s="180"/>
      <c r="J331" s="180"/>
      <c r="K331" s="159"/>
      <c r="L331" s="495">
        <f t="shared" ref="L331:N331" ca="1" si="151">L332+L333</f>
        <v>353600</v>
      </c>
      <c r="M331" s="495">
        <f t="shared" ca="1" si="151"/>
        <v>176800</v>
      </c>
      <c r="N331" s="495">
        <f t="shared" ca="1" si="151"/>
        <v>51194</v>
      </c>
      <c r="O331" s="495">
        <f t="shared" ca="1" si="148"/>
        <v>14.477941176470589</v>
      </c>
      <c r="P331" s="495">
        <f t="shared" ca="1" si="149"/>
        <v>28.955882352941178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9.5" hidden="1">
      <c r="A332" s="152"/>
      <c r="B332" s="39"/>
      <c r="C332" s="160"/>
      <c r="D332" s="39"/>
      <c r="E332" s="218" t="s">
        <v>36</v>
      </c>
      <c r="F332" s="39"/>
      <c r="G332" s="153"/>
      <c r="H332" s="161" t="s">
        <v>12</v>
      </c>
      <c r="I332" s="162"/>
      <c r="J332" s="162"/>
      <c r="K332" s="163"/>
      <c r="L332" s="90">
        <v>0</v>
      </c>
      <c r="M332" s="90">
        <v>0</v>
      </c>
      <c r="N332" s="90">
        <v>0</v>
      </c>
      <c r="O332" s="90">
        <f t="shared" si="148"/>
        <v>0</v>
      </c>
      <c r="P332" s="90">
        <f t="shared" si="149"/>
        <v>0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9.5" hidden="1">
      <c r="A333" s="152"/>
      <c r="B333" s="39"/>
      <c r="C333" s="160"/>
      <c r="D333" s="39"/>
      <c r="E333" s="218" t="s">
        <v>37</v>
      </c>
      <c r="F333" s="39"/>
      <c r="G333" s="153"/>
      <c r="H333" s="161" t="s">
        <v>12</v>
      </c>
      <c r="I333" s="162"/>
      <c r="J333" s="162"/>
      <c r="K333" s="163"/>
      <c r="L333" s="90">
        <f ca="1">IFERROR(__xludf.DUMMYFUNCTION("IMPORTRANGE(""https://docs.google.com/spreadsheets/d/1MeEWN-I1oV_STSDYn1IFDPWt_1FKiwhDph83XaGc0o0/edit?usp=sharing"",""งบพรบ!EM73"")"),353600)</f>
        <v>353600</v>
      </c>
      <c r="M333" s="90">
        <f ca="1">IFERROR(__xludf.DUMMYFUNCTION("IMPORTRANGE(""https://docs.google.com/spreadsheets/d/1MeEWN-I1oV_STSDYn1IFDPWt_1FKiwhDph83XaGc0o0/edit?usp=sharing"",""งบพรบ!ER73"")"),176800)</f>
        <v>176800</v>
      </c>
      <c r="N333" s="90">
        <f ca="1">IFERROR(__xludf.DUMMYFUNCTION("IMPORTRANGE(""https://docs.google.com/spreadsheets/d/1MeEWN-I1oV_STSDYn1IFDPWt_1FKiwhDph83XaGc0o0/edit?usp=sharing"",""งบพรบ!ET73"")"),51194)</f>
        <v>51194</v>
      </c>
      <c r="O333" s="90">
        <f t="shared" ca="1" si="148"/>
        <v>14.477941176470589</v>
      </c>
      <c r="P333" s="90">
        <f t="shared" ca="1" si="149"/>
        <v>28.955882352941178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>
      <c r="A334" s="155"/>
      <c r="B334" s="32"/>
      <c r="C334" s="276"/>
      <c r="D334" s="33" t="s">
        <v>21</v>
      </c>
      <c r="E334" s="32"/>
      <c r="F334" s="32"/>
      <c r="G334" s="34"/>
      <c r="H334" s="164" t="s">
        <v>12</v>
      </c>
      <c r="I334" s="180"/>
      <c r="J334" s="180"/>
      <c r="K334" s="159"/>
      <c r="L334" s="495">
        <f t="shared" ref="L334:N334" ca="1" si="152">L335+L336</f>
        <v>0</v>
      </c>
      <c r="M334" s="495">
        <f t="shared" ca="1" si="152"/>
        <v>0</v>
      </c>
      <c r="N334" s="495">
        <f t="shared" ca="1" si="152"/>
        <v>0</v>
      </c>
      <c r="O334" s="495">
        <f t="shared" ca="1" si="148"/>
        <v>0</v>
      </c>
      <c r="P334" s="495">
        <f t="shared" ca="1" si="149"/>
        <v>0</v>
      </c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9.5" hidden="1">
      <c r="A335" s="152"/>
      <c r="B335" s="39"/>
      <c r="C335" s="160"/>
      <c r="D335" s="39"/>
      <c r="E335" s="218" t="s">
        <v>18</v>
      </c>
      <c r="F335" s="39"/>
      <c r="G335" s="153"/>
      <c r="H335" s="161" t="s">
        <v>12</v>
      </c>
      <c r="I335" s="162"/>
      <c r="J335" s="162"/>
      <c r="K335" s="163"/>
      <c r="L335" s="90">
        <v>0</v>
      </c>
      <c r="M335" s="90">
        <v>0</v>
      </c>
      <c r="N335" s="90">
        <v>0</v>
      </c>
      <c r="O335" s="90">
        <f t="shared" si="148"/>
        <v>0</v>
      </c>
      <c r="P335" s="90">
        <f t="shared" si="149"/>
        <v>0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9.5" hidden="1">
      <c r="A336" s="152"/>
      <c r="B336" s="39"/>
      <c r="C336" s="160"/>
      <c r="D336" s="39"/>
      <c r="E336" s="218" t="s">
        <v>19</v>
      </c>
      <c r="F336" s="39"/>
      <c r="G336" s="153"/>
      <c r="H336" s="165" t="s">
        <v>12</v>
      </c>
      <c r="I336" s="162"/>
      <c r="J336" s="162"/>
      <c r="K336" s="163"/>
      <c r="L336" s="90">
        <f ca="1">IFERROR(__xludf.DUMMYFUNCTION("IMPORTRANGE(""https://docs.google.com/spreadsheets/d/1MeEWN-I1oV_STSDYn1IFDPWt_1FKiwhDph83XaGc0o0/edit?usp=sharing"",""งบพรบ!EP73"")"),0)</f>
        <v>0</v>
      </c>
      <c r="M336" s="90">
        <f ca="1">IFERROR(__xludf.DUMMYFUNCTION("IMPORTRANGE(""https://docs.google.com/spreadsheets/d/1MeEWN-I1oV_STSDYn1IFDPWt_1FKiwhDph83XaGc0o0/edit?usp=sharing"",""งบพรบ!ES73"")"),0)</f>
        <v>0</v>
      </c>
      <c r="N336" s="90">
        <f ca="1">IFERROR(__xludf.DUMMYFUNCTION("IMPORTRANGE(""https://docs.google.com/spreadsheets/d/1MeEWN-I1oV_STSDYn1IFDPWt_1FKiwhDph83XaGc0o0/edit?usp=sharing"",""งบพรบ!EU73"")"),0)</f>
        <v>0</v>
      </c>
      <c r="O336" s="90">
        <f t="shared" ca="1" si="148"/>
        <v>0</v>
      </c>
      <c r="P336" s="90">
        <f t="shared" ca="1" si="149"/>
        <v>0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9.5">
      <c r="A337" s="166"/>
      <c r="B337" s="167"/>
      <c r="C337" s="160" t="s">
        <v>16</v>
      </c>
      <c r="D337" s="826" t="s">
        <v>38</v>
      </c>
      <c r="E337" s="169"/>
      <c r="F337" s="169"/>
      <c r="G337" s="170"/>
      <c r="H337" s="752"/>
      <c r="I337" s="180"/>
      <c r="J337" s="264"/>
      <c r="K337" s="495"/>
      <c r="L337" s="495"/>
      <c r="M337" s="495"/>
      <c r="N337" s="495"/>
      <c r="O337" s="159"/>
      <c r="P337" s="159"/>
    </row>
    <row r="338" spans="1:26" ht="18.75">
      <c r="A338" s="279"/>
      <c r="B338" s="32"/>
      <c r="C338" s="275"/>
      <c r="D338" s="445" t="s">
        <v>150</v>
      </c>
      <c r="E338" s="167"/>
      <c r="F338" s="32"/>
      <c r="G338" s="34"/>
      <c r="H338" s="271" t="s">
        <v>35</v>
      </c>
      <c r="I338" s="264">
        <f ca="1">IFERROR(__xludf.DUMMYFUNCTION("IMPORTRANGE(""https://docs.google.com/spreadsheets/d/1QqKyyYR6Q21VydFLVH3TRQUabQu_ym0Zz7PgGX0-kHA/edit?usp=sharing"",""แผน!EG73"")"),50)</f>
        <v>50</v>
      </c>
      <c r="J338" s="264">
        <f ca="1">IFERROR(__xludf.DUMMYFUNCTION("IMPORTRANGE(""https://docs.google.com/spreadsheets/d/1kVcqe37tkHyjCSG3S0O1AXqVkqjo8mSIZil3BcpIysc/edit?usp=sharing"",""ศูนย์!D73"")"),9)</f>
        <v>9</v>
      </c>
      <c r="K338" s="495">
        <f ca="1">IF(I338&gt;0,J338*100/I338,0)</f>
        <v>18</v>
      </c>
      <c r="L338" s="495"/>
      <c r="M338" s="495"/>
      <c r="N338" s="495"/>
      <c r="O338" s="495"/>
      <c r="P338" s="495"/>
    </row>
    <row r="339" spans="1:26" ht="18.75">
      <c r="A339" s="279"/>
      <c r="B339" s="32"/>
      <c r="C339" s="275"/>
      <c r="D339" s="445" t="s">
        <v>151</v>
      </c>
      <c r="E339" s="167"/>
      <c r="F339" s="32"/>
      <c r="G339" s="34"/>
      <c r="H339" s="271"/>
      <c r="I339" s="264"/>
      <c r="J339" s="264"/>
      <c r="K339" s="495"/>
      <c r="L339" s="495"/>
      <c r="M339" s="495"/>
      <c r="N339" s="495"/>
      <c r="O339" s="495"/>
      <c r="P339" s="495"/>
    </row>
    <row r="340" spans="1:26" ht="18.75">
      <c r="A340" s="279"/>
      <c r="B340" s="32"/>
      <c r="C340" s="275"/>
      <c r="D340" s="174"/>
      <c r="E340" s="445" t="s">
        <v>152</v>
      </c>
      <c r="F340" s="32"/>
      <c r="G340" s="34"/>
      <c r="H340" s="271" t="s">
        <v>153</v>
      </c>
      <c r="I340" s="264">
        <f ca="1">IFERROR(__xludf.DUMMYFUNCTION("IMPORTRANGE(""https://docs.google.com/spreadsheets/d/1QqKyyYR6Q21VydFLVH3TRQUabQu_ym0Zz7PgGX0-kHA/edit?usp=sharing"",""แผน!EH73"")"),2)</f>
        <v>2</v>
      </c>
      <c r="J340" s="264">
        <f ca="1">IFERROR(__xludf.DUMMYFUNCTION("IMPORTRANGE(""https://docs.google.com/spreadsheets/d/1kVcqe37tkHyjCSG3S0O1AXqVkqjo8mSIZil3BcpIysc/edit?usp=sharing"",""ศูนย์!E73"")"),0)</f>
        <v>0</v>
      </c>
      <c r="K340" s="495">
        <f ca="1">IF(I340&gt;0,J340*100/I340,0)</f>
        <v>0</v>
      </c>
      <c r="L340" s="495"/>
      <c r="M340" s="495"/>
      <c r="N340" s="495"/>
      <c r="O340" s="495"/>
      <c r="P340" s="495"/>
    </row>
    <row r="341" spans="1:26" ht="18.75">
      <c r="A341" s="279"/>
      <c r="B341" s="32"/>
      <c r="C341" s="275"/>
      <c r="D341" s="174"/>
      <c r="E341" s="445" t="s">
        <v>154</v>
      </c>
      <c r="F341" s="32"/>
      <c r="G341" s="34"/>
      <c r="H341" s="271" t="s">
        <v>35</v>
      </c>
      <c r="I341" s="264"/>
      <c r="J341" s="264">
        <f ca="1">IFERROR(__xludf.DUMMYFUNCTION("IMPORTRANGE(""https://docs.google.com/spreadsheets/d/1kVcqe37tkHyjCSG3S0O1AXqVkqjo8mSIZil3BcpIysc/edit?usp=sharing"",""ศูนย์!F73"")"),0)</f>
        <v>0</v>
      </c>
      <c r="K341" s="495"/>
      <c r="L341" s="495"/>
      <c r="M341" s="495"/>
      <c r="N341" s="495"/>
      <c r="O341" s="495"/>
      <c r="P341" s="495"/>
    </row>
    <row r="342" spans="1:26" ht="18.75">
      <c r="A342" s="279"/>
      <c r="B342" s="32"/>
      <c r="C342" s="275"/>
      <c r="D342" s="445" t="s">
        <v>155</v>
      </c>
      <c r="E342" s="174"/>
      <c r="F342" s="174"/>
      <c r="G342" s="34"/>
      <c r="H342" s="271" t="s">
        <v>35</v>
      </c>
      <c r="I342" s="264"/>
      <c r="J342" s="264">
        <f ca="1">IFERROR(__xludf.DUMMYFUNCTION("IMPORTRANGE(""https://docs.google.com/spreadsheets/d/1kVcqe37tkHyjCSG3S0O1AXqVkqjo8mSIZil3BcpIysc/edit?usp=sharing"",""ศูนย์!G73"")"),0)</f>
        <v>0</v>
      </c>
      <c r="K342" s="495"/>
      <c r="L342" s="495"/>
      <c r="M342" s="495"/>
      <c r="N342" s="495"/>
      <c r="O342" s="495"/>
      <c r="P342" s="495"/>
    </row>
    <row r="343" spans="1:26" ht="18.75">
      <c r="A343" s="279"/>
      <c r="B343" s="32"/>
      <c r="C343" s="275"/>
      <c r="D343" s="445" t="s">
        <v>156</v>
      </c>
      <c r="E343" s="174"/>
      <c r="F343" s="174"/>
      <c r="G343" s="34"/>
      <c r="H343" s="271" t="s">
        <v>35</v>
      </c>
      <c r="I343" s="264"/>
      <c r="J343" s="264">
        <f ca="1">IFERROR(__xludf.DUMMYFUNCTION("IMPORTRANGE(""https://docs.google.com/spreadsheets/d/1kVcqe37tkHyjCSG3S0O1AXqVkqjo8mSIZil3BcpIysc/edit?usp=sharing"",""ศูนย์!H73"")"),0)</f>
        <v>0</v>
      </c>
      <c r="K343" s="495"/>
      <c r="L343" s="495"/>
      <c r="M343" s="495"/>
      <c r="N343" s="495"/>
      <c r="O343" s="495"/>
      <c r="P343" s="495"/>
    </row>
    <row r="344" spans="1:26" ht="19.5">
      <c r="A344" s="437"/>
      <c r="B344" s="438" t="s">
        <v>157</v>
      </c>
      <c r="C344" s="450"/>
      <c r="D344" s="439"/>
      <c r="E344" s="439"/>
      <c r="F344" s="439"/>
      <c r="G344" s="440"/>
      <c r="H344" s="441"/>
      <c r="I344" s="451"/>
      <c r="J344" s="451"/>
      <c r="K344" s="444"/>
      <c r="L344" s="444"/>
      <c r="M344" s="444"/>
      <c r="N344" s="444"/>
      <c r="O344" s="444"/>
      <c r="P344" s="444"/>
    </row>
    <row r="345" spans="1:26" ht="19.5">
      <c r="A345" s="143"/>
      <c r="B345" s="144"/>
      <c r="C345" s="145" t="s">
        <v>16</v>
      </c>
      <c r="D345" s="825" t="s">
        <v>17</v>
      </c>
      <c r="E345" s="144"/>
      <c r="F345" s="144"/>
      <c r="G345" s="147"/>
      <c r="H345" s="148" t="s">
        <v>12</v>
      </c>
      <c r="I345" s="418"/>
      <c r="J345" s="418"/>
      <c r="K345" s="150"/>
      <c r="L345" s="151">
        <f t="shared" ref="L345:N345" ca="1" si="153">L346+L347</f>
        <v>78110</v>
      </c>
      <c r="M345" s="151">
        <f t="shared" ca="1" si="153"/>
        <v>54060</v>
      </c>
      <c r="N345" s="151">
        <f t="shared" ca="1" si="153"/>
        <v>30000</v>
      </c>
      <c r="O345" s="151">
        <f t="shared" ref="O345:O353" ca="1" si="154">IF(L345&gt;0,N345*100/L345,0)</f>
        <v>38.407374215849444</v>
      </c>
      <c r="P345" s="151">
        <f t="shared" ref="P345:P353" ca="1" si="155">IF(M345&gt;0,N345*100/M345,0)</f>
        <v>55.493895671476139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8.75" hidden="1">
      <c r="A346" s="152"/>
      <c r="B346" s="39"/>
      <c r="C346" s="39"/>
      <c r="D346" s="39"/>
      <c r="E346" s="218" t="s">
        <v>18</v>
      </c>
      <c r="F346" s="39"/>
      <c r="G346" s="153"/>
      <c r="H346" s="154" t="s">
        <v>12</v>
      </c>
      <c r="I346" s="609"/>
      <c r="J346" s="609"/>
      <c r="K346" s="90"/>
      <c r="L346" s="90">
        <f t="shared" ref="L346:N347" si="156">L349+L352</f>
        <v>0</v>
      </c>
      <c r="M346" s="90">
        <f t="shared" si="156"/>
        <v>0</v>
      </c>
      <c r="N346" s="90">
        <f t="shared" si="156"/>
        <v>0</v>
      </c>
      <c r="O346" s="90">
        <f t="shared" si="154"/>
        <v>0</v>
      </c>
      <c r="P346" s="90">
        <f t="shared" si="155"/>
        <v>0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hidden="1">
      <c r="A347" s="152"/>
      <c r="B347" s="39"/>
      <c r="C347" s="39"/>
      <c r="D347" s="39"/>
      <c r="E347" s="218" t="s">
        <v>19</v>
      </c>
      <c r="F347" s="39"/>
      <c r="G347" s="153"/>
      <c r="H347" s="154" t="s">
        <v>12</v>
      </c>
      <c r="I347" s="609"/>
      <c r="J347" s="609"/>
      <c r="K347" s="90"/>
      <c r="L347" s="90">
        <f t="shared" ca="1" si="156"/>
        <v>78110</v>
      </c>
      <c r="M347" s="90">
        <f t="shared" ca="1" si="156"/>
        <v>54060</v>
      </c>
      <c r="N347" s="90">
        <f t="shared" ca="1" si="156"/>
        <v>30000</v>
      </c>
      <c r="O347" s="90">
        <f t="shared" ca="1" si="154"/>
        <v>38.407374215849444</v>
      </c>
      <c r="P347" s="90">
        <f t="shared" ca="1" si="155"/>
        <v>55.493895671476139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>
      <c r="A348" s="155"/>
      <c r="B348" s="32"/>
      <c r="C348" s="276"/>
      <c r="D348" s="33" t="s">
        <v>20</v>
      </c>
      <c r="E348" s="32"/>
      <c r="F348" s="32"/>
      <c r="G348" s="34"/>
      <c r="H348" s="157" t="s">
        <v>12</v>
      </c>
      <c r="I348" s="180"/>
      <c r="J348" s="180"/>
      <c r="K348" s="159"/>
      <c r="L348" s="495">
        <f t="shared" ref="L348:N348" ca="1" si="157">L349+L350</f>
        <v>48110</v>
      </c>
      <c r="M348" s="495">
        <f t="shared" ca="1" si="157"/>
        <v>24060</v>
      </c>
      <c r="N348" s="495">
        <f t="shared" ca="1" si="157"/>
        <v>0</v>
      </c>
      <c r="O348" s="495">
        <f t="shared" ca="1" si="154"/>
        <v>0</v>
      </c>
      <c r="P348" s="495">
        <f t="shared" ca="1" si="155"/>
        <v>0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9.5" hidden="1">
      <c r="A349" s="152"/>
      <c r="B349" s="39"/>
      <c r="C349" s="160"/>
      <c r="D349" s="39"/>
      <c r="E349" s="218" t="s">
        <v>36</v>
      </c>
      <c r="F349" s="39"/>
      <c r="G349" s="153"/>
      <c r="H349" s="161" t="s">
        <v>12</v>
      </c>
      <c r="I349" s="162"/>
      <c r="J349" s="162"/>
      <c r="K349" s="163"/>
      <c r="L349" s="90">
        <v>0</v>
      </c>
      <c r="M349" s="90">
        <v>0</v>
      </c>
      <c r="N349" s="90">
        <v>0</v>
      </c>
      <c r="O349" s="90">
        <f t="shared" si="154"/>
        <v>0</v>
      </c>
      <c r="P349" s="90">
        <f t="shared" si="155"/>
        <v>0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9.5" hidden="1">
      <c r="A350" s="152"/>
      <c r="B350" s="39"/>
      <c r="C350" s="160"/>
      <c r="D350" s="39"/>
      <c r="E350" s="218" t="s">
        <v>37</v>
      </c>
      <c r="F350" s="39"/>
      <c r="G350" s="153"/>
      <c r="H350" s="161" t="s">
        <v>12</v>
      </c>
      <c r="I350" s="162"/>
      <c r="J350" s="162"/>
      <c r="K350" s="163"/>
      <c r="L350" s="90">
        <f ca="1">IFERROR(__xludf.DUMMYFUNCTION("IMPORTRANGE(""https://docs.google.com/spreadsheets/d/1MeEWN-I1oV_STSDYn1IFDPWt_1FKiwhDph83XaGc0o0/edit?usp=sharing"",""งบพรบ!EW73"")"),48110)</f>
        <v>48110</v>
      </c>
      <c r="M350" s="90">
        <f ca="1">IFERROR(__xludf.DUMMYFUNCTION("IMPORTRANGE(""https://docs.google.com/spreadsheets/d/1MeEWN-I1oV_STSDYn1IFDPWt_1FKiwhDph83XaGc0o0/edit?usp=sharing"",""งบพรบ!FB73"")"),24060)</f>
        <v>24060</v>
      </c>
      <c r="N350" s="90">
        <f ca="1">IFERROR(__xludf.DUMMYFUNCTION("IMPORTRANGE(""https://docs.google.com/spreadsheets/d/1MeEWN-I1oV_STSDYn1IFDPWt_1FKiwhDph83XaGc0o0/edit?usp=sharing"",""งบพรบ!FD73"")"),0)</f>
        <v>0</v>
      </c>
      <c r="O350" s="90">
        <f t="shared" ca="1" si="154"/>
        <v>0</v>
      </c>
      <c r="P350" s="90">
        <f t="shared" ca="1" si="155"/>
        <v>0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>
      <c r="A351" s="155"/>
      <c r="B351" s="32"/>
      <c r="C351" s="276"/>
      <c r="D351" s="33" t="s">
        <v>21</v>
      </c>
      <c r="E351" s="32"/>
      <c r="F351" s="32"/>
      <c r="G351" s="34"/>
      <c r="H351" s="164" t="s">
        <v>12</v>
      </c>
      <c r="I351" s="180"/>
      <c r="J351" s="180"/>
      <c r="K351" s="159"/>
      <c r="L351" s="495">
        <f t="shared" ref="L351:N351" ca="1" si="158">L352+L353</f>
        <v>30000</v>
      </c>
      <c r="M351" s="495">
        <f t="shared" ca="1" si="158"/>
        <v>30000</v>
      </c>
      <c r="N351" s="495">
        <f t="shared" ca="1" si="158"/>
        <v>30000</v>
      </c>
      <c r="O351" s="495">
        <f t="shared" ca="1" si="154"/>
        <v>100</v>
      </c>
      <c r="P351" s="495">
        <f t="shared" ca="1" si="155"/>
        <v>100</v>
      </c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9.5" hidden="1">
      <c r="A352" s="152"/>
      <c r="B352" s="39"/>
      <c r="C352" s="160"/>
      <c r="D352" s="39"/>
      <c r="E352" s="218" t="s">
        <v>18</v>
      </c>
      <c r="F352" s="39"/>
      <c r="G352" s="153"/>
      <c r="H352" s="161" t="s">
        <v>12</v>
      </c>
      <c r="I352" s="162"/>
      <c r="J352" s="162"/>
      <c r="K352" s="163"/>
      <c r="L352" s="90">
        <v>0</v>
      </c>
      <c r="M352" s="90">
        <v>0</v>
      </c>
      <c r="N352" s="90">
        <v>0</v>
      </c>
      <c r="O352" s="90">
        <f t="shared" si="154"/>
        <v>0</v>
      </c>
      <c r="P352" s="90">
        <f t="shared" si="155"/>
        <v>0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9.5" hidden="1">
      <c r="A353" s="152"/>
      <c r="B353" s="39"/>
      <c r="C353" s="160"/>
      <c r="D353" s="39"/>
      <c r="E353" s="218" t="s">
        <v>19</v>
      </c>
      <c r="F353" s="39"/>
      <c r="G353" s="153"/>
      <c r="H353" s="165" t="s">
        <v>12</v>
      </c>
      <c r="I353" s="162"/>
      <c r="J353" s="162"/>
      <c r="K353" s="163"/>
      <c r="L353" s="90">
        <f ca="1">IFERROR(__xludf.DUMMYFUNCTION("IMPORTRANGE(""https://docs.google.com/spreadsheets/d/1MeEWN-I1oV_STSDYn1IFDPWt_1FKiwhDph83XaGc0o0/edit?usp=sharing"",""งบพรบ!EZ73"")"),30000)</f>
        <v>30000</v>
      </c>
      <c r="M353" s="90">
        <f ca="1">IFERROR(__xludf.DUMMYFUNCTION("IMPORTRANGE(""https://docs.google.com/spreadsheets/d/1MeEWN-I1oV_STSDYn1IFDPWt_1FKiwhDph83XaGc0o0/edit?usp=sharing"",""งบพรบ!FC73"")"),30000)</f>
        <v>30000</v>
      </c>
      <c r="N353" s="90">
        <f ca="1">IFERROR(__xludf.DUMMYFUNCTION("IMPORTRANGE(""https://docs.google.com/spreadsheets/d/1MeEWN-I1oV_STSDYn1IFDPWt_1FKiwhDph83XaGc0o0/edit?usp=sharing"",""งบพรบ!FE73"")"),30000)</f>
        <v>30000</v>
      </c>
      <c r="O353" s="90">
        <f t="shared" ca="1" si="154"/>
        <v>100</v>
      </c>
      <c r="P353" s="90">
        <f t="shared" ca="1" si="155"/>
        <v>100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9.5" hidden="1">
      <c r="A354" s="250"/>
      <c r="B354" s="258"/>
      <c r="C354" s="251"/>
      <c r="D354" s="834" t="s">
        <v>158</v>
      </c>
      <c r="E354" s="251"/>
      <c r="F354" s="251"/>
      <c r="G354" s="253"/>
      <c r="H354" s="453"/>
      <c r="I354" s="255"/>
      <c r="J354" s="255"/>
      <c r="K354" s="256"/>
      <c r="L354" s="256"/>
      <c r="M354" s="256"/>
      <c r="N354" s="256"/>
      <c r="O354" s="256"/>
      <c r="P354" s="256"/>
    </row>
    <row r="355" spans="1:26" ht="19.5" hidden="1">
      <c r="A355" s="454"/>
      <c r="B355" s="455"/>
      <c r="C355" s="456"/>
      <c r="D355" s="835" t="s">
        <v>159</v>
      </c>
      <c r="E355" s="458"/>
      <c r="F355" s="458"/>
      <c r="G355" s="459"/>
      <c r="H355" s="460" t="s">
        <v>35</v>
      </c>
      <c r="I355" s="462">
        <f ca="1">IFERROR(__xludf.DUMMYFUNCTION("IMPORTRANGE(""https://docs.google.com/spreadsheets/d/1QqKyyYR6Q21VydFLVH3TRQUabQu_ym0Zz7PgGX0-kHA/edit?usp=sharing"",""แผน!EP73"")"),0)</f>
        <v>0</v>
      </c>
      <c r="J355" s="462">
        <f ca="1">J362</f>
        <v>0</v>
      </c>
      <c r="K355" s="463">
        <f ca="1">IF(I355&gt;0,J355*100/I355,0)</f>
        <v>0</v>
      </c>
      <c r="L355" s="464"/>
      <c r="M355" s="464"/>
      <c r="N355" s="464"/>
      <c r="O355" s="464"/>
      <c r="P355" s="464"/>
    </row>
    <row r="356" spans="1:26" ht="19.5" hidden="1">
      <c r="A356" s="454"/>
      <c r="B356" s="455"/>
      <c r="C356" s="456"/>
      <c r="D356" s="465" t="s">
        <v>160</v>
      </c>
      <c r="E356" s="458"/>
      <c r="F356" s="458"/>
      <c r="G356" s="459"/>
      <c r="H356" s="466"/>
      <c r="I356" s="467"/>
      <c r="J356" s="467"/>
      <c r="K356" s="464"/>
      <c r="L356" s="464"/>
      <c r="M356" s="464"/>
      <c r="N356" s="464"/>
      <c r="O356" s="464"/>
      <c r="P356" s="464"/>
    </row>
    <row r="357" spans="1:26" ht="19.5" hidden="1">
      <c r="A357" s="166"/>
      <c r="B357" s="167"/>
      <c r="C357" s="160" t="s">
        <v>16</v>
      </c>
      <c r="D357" s="826" t="s">
        <v>38</v>
      </c>
      <c r="E357" s="169"/>
      <c r="F357" s="169"/>
      <c r="G357" s="170"/>
      <c r="H357" s="752"/>
      <c r="I357" s="264"/>
      <c r="J357" s="264"/>
      <c r="K357" s="495"/>
      <c r="L357" s="159"/>
      <c r="M357" s="159"/>
      <c r="N357" s="159"/>
      <c r="O357" s="159"/>
      <c r="P357" s="159"/>
    </row>
    <row r="358" spans="1:26" ht="18.75" hidden="1">
      <c r="A358" s="166"/>
      <c r="B358" s="174"/>
      <c r="C358" s="167"/>
      <c r="D358" s="174"/>
      <c r="E358" s="172" t="s">
        <v>161</v>
      </c>
      <c r="F358" s="174"/>
      <c r="G358" s="175"/>
      <c r="H358" s="181" t="s">
        <v>35</v>
      </c>
      <c r="I358" s="264">
        <v>0</v>
      </c>
      <c r="J358" s="264">
        <f ca="1">IFERROR(__xludf.DUMMYFUNCTION("IMPORTRANGE(""https://docs.google.com/spreadsheets/d/1XWAQStnk-4SwqDmLtmXYiTMKHgktTP8We1SCoS47DrQ/edit?usp=sharing"",""จัดที่ดิน!W73"")"),0)</f>
        <v>0</v>
      </c>
      <c r="K358" s="495">
        <f t="shared" ref="K358:K365" si="159">IF(I358&gt;0,J358*100/I358,0)</f>
        <v>0</v>
      </c>
      <c r="L358" s="159"/>
      <c r="M358" s="159"/>
      <c r="N358" s="159"/>
      <c r="O358" s="159"/>
      <c r="P358" s="159"/>
    </row>
    <row r="359" spans="1:26" ht="18.75" hidden="1">
      <c r="A359" s="166"/>
      <c r="B359" s="174"/>
      <c r="C359" s="167"/>
      <c r="D359" s="174"/>
      <c r="E359" s="174"/>
      <c r="F359" s="174"/>
      <c r="G359" s="175"/>
      <c r="H359" s="181" t="s">
        <v>46</v>
      </c>
      <c r="I359" s="264">
        <f ca="1">IFERROR(__xludf.DUMMYFUNCTION("IMPORTRANGE(""https://docs.google.com/spreadsheets/d/1QqKyyYR6Q21VydFLVH3TRQUabQu_ym0Zz7PgGX0-kHA/edit?usp=sharing"",""แผน!EO73"")"),0)</f>
        <v>0</v>
      </c>
      <c r="J359" s="264">
        <f ca="1">IFERROR(__xludf.DUMMYFUNCTION("IMPORTRANGE(""https://docs.google.com/spreadsheets/d/1XWAQStnk-4SwqDmLtmXYiTMKHgktTP8We1SCoS47DrQ/edit?usp=sharing"",""จัดที่ดิน!X73"")"),0)</f>
        <v>0</v>
      </c>
      <c r="K359" s="495">
        <f t="shared" ca="1" si="159"/>
        <v>0</v>
      </c>
      <c r="L359" s="159"/>
      <c r="M359" s="159"/>
      <c r="N359" s="159"/>
      <c r="O359" s="159"/>
      <c r="P359" s="159"/>
    </row>
    <row r="360" spans="1:26" ht="18.75" hidden="1">
      <c r="A360" s="166"/>
      <c r="B360" s="174"/>
      <c r="C360" s="167"/>
      <c r="D360" s="174"/>
      <c r="E360" s="172" t="s">
        <v>162</v>
      </c>
      <c r="F360" s="174"/>
      <c r="G360" s="175"/>
      <c r="H360" s="754" t="s">
        <v>35</v>
      </c>
      <c r="I360" s="264">
        <f ca="1">IFERROR(__xludf.DUMMYFUNCTION("IMPORTRANGE(""https://docs.google.com/spreadsheets/d/1QqKyyYR6Q21VydFLVH3TRQUabQu_ym0Zz7PgGX0-kHA/edit?usp=sharing"",""แผน!EP73"")"),0)</f>
        <v>0</v>
      </c>
      <c r="J360" s="264">
        <f ca="1">IFERROR(__xludf.DUMMYFUNCTION("IMPORTRANGE(""https://docs.google.com/spreadsheets/d/1XWAQStnk-4SwqDmLtmXYiTMKHgktTP8We1SCoS47DrQ/edit?usp=sharing"",""จัดที่ดิน!Y73"")"),0)</f>
        <v>0</v>
      </c>
      <c r="K360" s="495">
        <f t="shared" ca="1" si="159"/>
        <v>0</v>
      </c>
      <c r="L360" s="159"/>
      <c r="M360" s="159"/>
      <c r="N360" s="159"/>
      <c r="O360" s="159"/>
      <c r="P360" s="159"/>
    </row>
    <row r="361" spans="1:26" ht="18.75" hidden="1">
      <c r="A361" s="166"/>
      <c r="B361" s="174"/>
      <c r="C361" s="167"/>
      <c r="D361" s="174"/>
      <c r="E361" s="174"/>
      <c r="F361" s="174"/>
      <c r="G361" s="175"/>
      <c r="H361" s="754" t="s">
        <v>46</v>
      </c>
      <c r="I361" s="264">
        <v>0</v>
      </c>
      <c r="J361" s="264">
        <f ca="1">IFERROR(__xludf.DUMMYFUNCTION("IMPORTRANGE(""https://docs.google.com/spreadsheets/d/1XWAQStnk-4SwqDmLtmXYiTMKHgktTP8We1SCoS47DrQ/edit?usp=sharing"",""จัดที่ดิน!Z73"")"),0)</f>
        <v>0</v>
      </c>
      <c r="K361" s="495">
        <f t="shared" si="159"/>
        <v>0</v>
      </c>
      <c r="L361" s="159"/>
      <c r="M361" s="159"/>
      <c r="N361" s="159"/>
      <c r="O361" s="159"/>
      <c r="P361" s="159"/>
    </row>
    <row r="362" spans="1:26" ht="18.75" hidden="1">
      <c r="A362" s="166"/>
      <c r="B362" s="174"/>
      <c r="C362" s="167"/>
      <c r="D362" s="174"/>
      <c r="E362" s="172" t="s">
        <v>163</v>
      </c>
      <c r="F362" s="174"/>
      <c r="G362" s="175"/>
      <c r="H362" s="754" t="s">
        <v>35</v>
      </c>
      <c r="I362" s="264">
        <f ca="1">IFERROR(__xludf.DUMMYFUNCTION("IMPORTRANGE(""https://docs.google.com/spreadsheets/d/1QqKyyYR6Q21VydFLVH3TRQUabQu_ym0Zz7PgGX0-kHA/edit?usp=sharing"",""แผน!EP73"")"),0)</f>
        <v>0</v>
      </c>
      <c r="J362" s="264">
        <f ca="1">IFERROR(__xludf.DUMMYFUNCTION("IMPORTRANGE(""https://docs.google.com/spreadsheets/d/1XWAQStnk-4SwqDmLtmXYiTMKHgktTP8We1SCoS47DrQ/edit?usp=sharing"",""จัดที่ดิน!AA73"")"),0)</f>
        <v>0</v>
      </c>
      <c r="K362" s="495">
        <f t="shared" ca="1" si="159"/>
        <v>0</v>
      </c>
      <c r="L362" s="159"/>
      <c r="M362" s="159"/>
      <c r="N362" s="159"/>
      <c r="O362" s="159"/>
      <c r="P362" s="159"/>
    </row>
    <row r="363" spans="1:26" ht="18.75" hidden="1">
      <c r="A363" s="468" t="s">
        <v>164</v>
      </c>
      <c r="B363" s="174"/>
      <c r="C363" s="167"/>
      <c r="D363" s="174"/>
      <c r="E363" s="445"/>
      <c r="F363" s="174"/>
      <c r="G363" s="175"/>
      <c r="H363" s="754" t="s">
        <v>46</v>
      </c>
      <c r="I363" s="264">
        <v>0</v>
      </c>
      <c r="J363" s="264">
        <f ca="1">IFERROR(__xludf.DUMMYFUNCTION("IMPORTRANGE(""https://docs.google.com/spreadsheets/d/1XWAQStnk-4SwqDmLtmXYiTMKHgktTP8We1SCoS47DrQ/edit?usp=sharing"",""จัดที่ดิน!AB73"")"),0)</f>
        <v>0</v>
      </c>
      <c r="K363" s="495">
        <f t="shared" si="159"/>
        <v>0</v>
      </c>
      <c r="L363" s="159"/>
      <c r="M363" s="159"/>
      <c r="N363" s="159"/>
      <c r="O363" s="159"/>
      <c r="P363" s="159"/>
    </row>
    <row r="364" spans="1:26" ht="19.5" hidden="1">
      <c r="A364" s="469"/>
      <c r="B364" s="470"/>
      <c r="C364" s="471"/>
      <c r="D364" s="472" t="s">
        <v>165</v>
      </c>
      <c r="E364" s="473"/>
      <c r="F364" s="473"/>
      <c r="G364" s="474"/>
      <c r="H364" s="475" t="s">
        <v>35</v>
      </c>
      <c r="I364" s="476">
        <f t="shared" ref="I364:J364" ca="1" si="160">I365+I374</f>
        <v>0</v>
      </c>
      <c r="J364" s="476">
        <f t="shared" ca="1" si="160"/>
        <v>0</v>
      </c>
      <c r="K364" s="477">
        <f t="shared" ca="1" si="159"/>
        <v>0</v>
      </c>
      <c r="L364" s="478"/>
      <c r="M364" s="478"/>
      <c r="N364" s="478"/>
      <c r="O364" s="478"/>
      <c r="P364" s="478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spans="1:26" ht="19.5" hidden="1">
      <c r="A365" s="480"/>
      <c r="B365" s="481"/>
      <c r="C365" s="483"/>
      <c r="D365" s="483" t="s">
        <v>166</v>
      </c>
      <c r="E365" s="484"/>
      <c r="F365" s="484"/>
      <c r="G365" s="485"/>
      <c r="H365" s="486" t="s">
        <v>35</v>
      </c>
      <c r="I365" s="488">
        <f ca="1">IFERROR(__xludf.DUMMYFUNCTION("IMPORTRANGE(""https://docs.google.com/spreadsheets/d/1QqKyyYR6Q21VydFLVH3TRQUabQu_ym0Zz7PgGX0-kHA/edit?usp=sharing"",""แผน!EJ73"")"),0)</f>
        <v>0</v>
      </c>
      <c r="J365" s="488">
        <f ca="1">J372</f>
        <v>0</v>
      </c>
      <c r="K365" s="489">
        <f t="shared" ca="1" si="159"/>
        <v>0</v>
      </c>
      <c r="L365" s="490"/>
      <c r="M365" s="490"/>
      <c r="N365" s="490"/>
      <c r="O365" s="490"/>
      <c r="P365" s="490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spans="1:26" ht="19.5" hidden="1">
      <c r="A366" s="480"/>
      <c r="B366" s="481"/>
      <c r="C366" s="483"/>
      <c r="D366" s="491" t="s">
        <v>167</v>
      </c>
      <c r="E366" s="484"/>
      <c r="F366" s="484"/>
      <c r="G366" s="485"/>
      <c r="H366" s="492"/>
      <c r="I366" s="493"/>
      <c r="J366" s="493"/>
      <c r="K366" s="490"/>
      <c r="L366" s="490"/>
      <c r="M366" s="490"/>
      <c r="N366" s="490"/>
      <c r="O366" s="490"/>
      <c r="P366" s="490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spans="1:26" ht="19.5" hidden="1">
      <c r="A367" s="166"/>
      <c r="B367" s="167"/>
      <c r="C367" s="160" t="s">
        <v>16</v>
      </c>
      <c r="D367" s="826" t="s">
        <v>38</v>
      </c>
      <c r="E367" s="169"/>
      <c r="F367" s="169"/>
      <c r="G367" s="170"/>
      <c r="H367" s="752"/>
      <c r="I367" s="264"/>
      <c r="J367" s="264"/>
      <c r="K367" s="495"/>
      <c r="L367" s="159"/>
      <c r="M367" s="159"/>
      <c r="N367" s="159"/>
      <c r="O367" s="159"/>
      <c r="P367" s="159"/>
    </row>
    <row r="368" spans="1:26" ht="18.75" hidden="1">
      <c r="A368" s="166"/>
      <c r="B368" s="174"/>
      <c r="C368" s="167"/>
      <c r="D368" s="174"/>
      <c r="E368" s="172" t="s">
        <v>161</v>
      </c>
      <c r="F368" s="174"/>
      <c r="G368" s="175"/>
      <c r="H368" s="181" t="s">
        <v>35</v>
      </c>
      <c r="I368" s="264">
        <v>0</v>
      </c>
      <c r="J368" s="264">
        <f ca="1">IFERROR(__xludf.DUMMYFUNCTION("IMPORTRANGE(""https://docs.google.com/spreadsheets/d/1XWAQStnk-4SwqDmLtmXYiTMKHgktTP8We1SCoS47DrQ/edit?usp=sharing"",""จัดที่ดิน!E73"")"),0)</f>
        <v>0</v>
      </c>
      <c r="K368" s="495">
        <f t="shared" ref="K368:K374" si="161">IF(I368&gt;0,J368*100/I368,0)</f>
        <v>0</v>
      </c>
      <c r="L368" s="159"/>
      <c r="M368" s="159"/>
      <c r="N368" s="159"/>
      <c r="O368" s="159"/>
      <c r="P368" s="159"/>
    </row>
    <row r="369" spans="1:26" ht="18.75" hidden="1">
      <c r="A369" s="166"/>
      <c r="B369" s="174"/>
      <c r="C369" s="167"/>
      <c r="D369" s="174"/>
      <c r="E369" s="174"/>
      <c r="F369" s="174"/>
      <c r="G369" s="175"/>
      <c r="H369" s="181" t="s">
        <v>46</v>
      </c>
      <c r="I369" s="264">
        <f ca="1">IFERROR(__xludf.DUMMYFUNCTION("IMPORTRANGE(""https://docs.google.com/spreadsheets/d/1QqKyyYR6Q21VydFLVH3TRQUabQu_ym0Zz7PgGX0-kHA/edit?usp=sharing"",""แผน!EI73"")"),0)</f>
        <v>0</v>
      </c>
      <c r="J369" s="264">
        <f ca="1">IFERROR(__xludf.DUMMYFUNCTION("IMPORTRANGE(""https://docs.google.com/spreadsheets/d/1XWAQStnk-4SwqDmLtmXYiTMKHgktTP8We1SCoS47DrQ/edit?usp=sharing"",""จัดที่ดิน!F73"")"),0)</f>
        <v>0</v>
      </c>
      <c r="K369" s="495">
        <f t="shared" ca="1" si="161"/>
        <v>0</v>
      </c>
      <c r="L369" s="159"/>
      <c r="M369" s="159"/>
      <c r="N369" s="159"/>
      <c r="O369" s="159"/>
      <c r="P369" s="159"/>
    </row>
    <row r="370" spans="1:26" ht="18.75" hidden="1">
      <c r="A370" s="166"/>
      <c r="B370" s="174"/>
      <c r="C370" s="167"/>
      <c r="D370" s="174"/>
      <c r="E370" s="172" t="s">
        <v>162</v>
      </c>
      <c r="F370" s="174"/>
      <c r="G370" s="175"/>
      <c r="H370" s="754" t="s">
        <v>35</v>
      </c>
      <c r="I370" s="264">
        <f ca="1">IFERROR(__xludf.DUMMYFUNCTION("IMPORTRANGE(""https://docs.google.com/spreadsheets/d/1QqKyyYR6Q21VydFLVH3TRQUabQu_ym0Zz7PgGX0-kHA/edit?usp=sharing"",""แผน!EJ73"")"),0)</f>
        <v>0</v>
      </c>
      <c r="J370" s="264">
        <f ca="1">IFERROR(__xludf.DUMMYFUNCTION("IMPORTRANGE(""https://docs.google.com/spreadsheets/d/1XWAQStnk-4SwqDmLtmXYiTMKHgktTP8We1SCoS47DrQ/edit?usp=sharing"",""จัดที่ดิน!G73"")"),0)</f>
        <v>0</v>
      </c>
      <c r="K370" s="495">
        <f t="shared" ca="1" si="161"/>
        <v>0</v>
      </c>
      <c r="L370" s="159"/>
      <c r="M370" s="159"/>
      <c r="N370" s="159"/>
      <c r="O370" s="159"/>
      <c r="P370" s="159"/>
    </row>
    <row r="371" spans="1:26" ht="18.75" hidden="1">
      <c r="A371" s="166"/>
      <c r="B371" s="174"/>
      <c r="C371" s="167"/>
      <c r="D371" s="174"/>
      <c r="E371" s="174"/>
      <c r="F371" s="174"/>
      <c r="G371" s="175"/>
      <c r="H371" s="754" t="s">
        <v>46</v>
      </c>
      <c r="I371" s="264">
        <v>0</v>
      </c>
      <c r="J371" s="264">
        <f ca="1">IFERROR(__xludf.DUMMYFUNCTION("IMPORTRANGE(""https://docs.google.com/spreadsheets/d/1XWAQStnk-4SwqDmLtmXYiTMKHgktTP8We1SCoS47DrQ/edit?usp=sharing"",""จัดที่ดิน!H73"")"),0)</f>
        <v>0</v>
      </c>
      <c r="K371" s="495">
        <f t="shared" si="161"/>
        <v>0</v>
      </c>
      <c r="L371" s="159"/>
      <c r="M371" s="159"/>
      <c r="N371" s="159"/>
      <c r="O371" s="159"/>
      <c r="P371" s="159"/>
    </row>
    <row r="372" spans="1:26" ht="18.75" hidden="1">
      <c r="A372" s="166"/>
      <c r="B372" s="174"/>
      <c r="C372" s="167"/>
      <c r="D372" s="174"/>
      <c r="E372" s="172" t="s">
        <v>163</v>
      </c>
      <c r="F372" s="174"/>
      <c r="G372" s="175"/>
      <c r="H372" s="754" t="s">
        <v>35</v>
      </c>
      <c r="I372" s="264">
        <f ca="1">IFERROR(__xludf.DUMMYFUNCTION("IMPORTRANGE(""https://docs.google.com/spreadsheets/d/1QqKyyYR6Q21VydFLVH3TRQUabQu_ym0Zz7PgGX0-kHA/edit?usp=sharing"",""แผน!EJ73"")"),0)</f>
        <v>0</v>
      </c>
      <c r="J372" s="264">
        <f ca="1">IFERROR(__xludf.DUMMYFUNCTION("IMPORTRANGE(""https://docs.google.com/spreadsheets/d/1XWAQStnk-4SwqDmLtmXYiTMKHgktTP8We1SCoS47DrQ/edit?usp=sharing"",""จัดที่ดิน!I73"")"),0)</f>
        <v>0</v>
      </c>
      <c r="K372" s="495">
        <f t="shared" ca="1" si="161"/>
        <v>0</v>
      </c>
      <c r="L372" s="159"/>
      <c r="M372" s="159"/>
      <c r="N372" s="159"/>
      <c r="O372" s="159"/>
      <c r="P372" s="159"/>
    </row>
    <row r="373" spans="1:26" ht="18.75" hidden="1">
      <c r="A373" s="468" t="s">
        <v>164</v>
      </c>
      <c r="B373" s="174"/>
      <c r="C373" s="167"/>
      <c r="D373" s="174"/>
      <c r="E373" s="445"/>
      <c r="F373" s="174"/>
      <c r="G373" s="175"/>
      <c r="H373" s="754" t="s">
        <v>46</v>
      </c>
      <c r="I373" s="264">
        <v>0</v>
      </c>
      <c r="J373" s="264">
        <f ca="1">IFERROR(__xludf.DUMMYFUNCTION("IMPORTRANGE(""https://docs.google.com/spreadsheets/d/1XWAQStnk-4SwqDmLtmXYiTMKHgktTP8We1SCoS47DrQ/edit?usp=sharing"",""จัดที่ดิน!J73"")"),0)</f>
        <v>0</v>
      </c>
      <c r="K373" s="495">
        <f t="shared" si="161"/>
        <v>0</v>
      </c>
      <c r="L373" s="159"/>
      <c r="M373" s="159"/>
      <c r="N373" s="159"/>
      <c r="O373" s="159"/>
      <c r="P373" s="159"/>
    </row>
    <row r="374" spans="1:26" ht="19.5" hidden="1">
      <c r="A374" s="480"/>
      <c r="B374" s="481"/>
      <c r="C374" s="483"/>
      <c r="D374" s="483" t="s">
        <v>168</v>
      </c>
      <c r="E374" s="484"/>
      <c r="F374" s="484"/>
      <c r="G374" s="485"/>
      <c r="H374" s="486" t="s">
        <v>35</v>
      </c>
      <c r="I374" s="494">
        <f ca="1">IFERROR(__xludf.DUMMYFUNCTION("IMPORTRANGE(""https://docs.google.com/spreadsheets/d/1QqKyyYR6Q21VydFLVH3TRQUabQu_ym0Zz7PgGX0-kHA/edit?usp=sharing"",""แผน!EU73"")"),0)</f>
        <v>0</v>
      </c>
      <c r="J374" s="488">
        <f ca="1">J381</f>
        <v>0</v>
      </c>
      <c r="K374" s="489">
        <f t="shared" ca="1" si="161"/>
        <v>0</v>
      </c>
      <c r="L374" s="490"/>
      <c r="M374" s="490"/>
      <c r="N374" s="490"/>
      <c r="O374" s="490"/>
      <c r="P374" s="490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spans="1:26" ht="19.5" hidden="1">
      <c r="A375" s="480"/>
      <c r="B375" s="481"/>
      <c r="C375" s="483"/>
      <c r="D375" s="491" t="s">
        <v>169</v>
      </c>
      <c r="E375" s="484"/>
      <c r="F375" s="484"/>
      <c r="G375" s="485"/>
      <c r="H375" s="492"/>
      <c r="I375" s="493"/>
      <c r="J375" s="493"/>
      <c r="K375" s="490"/>
      <c r="L375" s="490"/>
      <c r="M375" s="490"/>
      <c r="N375" s="490"/>
      <c r="O375" s="490"/>
      <c r="P375" s="490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spans="1:26" ht="19.5" hidden="1">
      <c r="A376" s="166"/>
      <c r="B376" s="167"/>
      <c r="C376" s="160" t="s">
        <v>16</v>
      </c>
      <c r="D376" s="826" t="s">
        <v>38</v>
      </c>
      <c r="E376" s="169"/>
      <c r="F376" s="169"/>
      <c r="G376" s="170"/>
      <c r="H376" s="752"/>
      <c r="I376" s="264"/>
      <c r="J376" s="264"/>
      <c r="K376" s="495"/>
      <c r="L376" s="159"/>
      <c r="M376" s="159"/>
      <c r="N376" s="159"/>
      <c r="O376" s="159"/>
      <c r="P376" s="159"/>
    </row>
    <row r="377" spans="1:26" ht="18.75" hidden="1">
      <c r="A377" s="166"/>
      <c r="B377" s="174"/>
      <c r="C377" s="167"/>
      <c r="D377" s="174"/>
      <c r="E377" s="172" t="s">
        <v>161</v>
      </c>
      <c r="F377" s="174"/>
      <c r="G377" s="175"/>
      <c r="H377" s="181" t="s">
        <v>35</v>
      </c>
      <c r="I377" s="264">
        <v>0</v>
      </c>
      <c r="J377" s="264">
        <f ca="1">IFERROR(__xludf.DUMMYFUNCTION("IMPORTRANGE(""https://docs.google.com/spreadsheets/d/1XWAQStnk-4SwqDmLtmXYiTMKHgktTP8We1SCoS47DrQ/edit?usp=sharing"",""จัดที่ดิน!AH73"")"),0)</f>
        <v>0</v>
      </c>
      <c r="K377" s="495">
        <f t="shared" ref="K377:K382" si="162">IF(I377&gt;0,J377*100/I377,0)</f>
        <v>0</v>
      </c>
      <c r="L377" s="159"/>
      <c r="M377" s="159"/>
      <c r="N377" s="159"/>
      <c r="O377" s="159"/>
      <c r="P377" s="159"/>
    </row>
    <row r="378" spans="1:26" ht="18.75" hidden="1">
      <c r="A378" s="166"/>
      <c r="B378" s="174"/>
      <c r="C378" s="167"/>
      <c r="D378" s="174"/>
      <c r="E378" s="174"/>
      <c r="F378" s="174"/>
      <c r="G378" s="175"/>
      <c r="H378" s="181" t="s">
        <v>46</v>
      </c>
      <c r="I378" s="264">
        <f ca="1">IFERROR(__xludf.DUMMYFUNCTION("IMPORTRANGE(""https://docs.google.com/spreadsheets/d/1QqKyyYR6Q21VydFLVH3TRQUabQu_ym0Zz7PgGX0-kHA/edit?usp=sharing"",""แผน!ET73"")"),0)</f>
        <v>0</v>
      </c>
      <c r="J378" s="264">
        <f ca="1">IFERROR(__xludf.DUMMYFUNCTION("IMPORTRANGE(""https://docs.google.com/spreadsheets/d/1XWAQStnk-4SwqDmLtmXYiTMKHgktTP8We1SCoS47DrQ/edit?usp=sharing"",""จัดที่ดิน!AI73"")"),0)</f>
        <v>0</v>
      </c>
      <c r="K378" s="495">
        <f t="shared" ca="1" si="162"/>
        <v>0</v>
      </c>
      <c r="L378" s="159"/>
      <c r="M378" s="159"/>
      <c r="N378" s="159"/>
      <c r="O378" s="159"/>
      <c r="P378" s="159"/>
    </row>
    <row r="379" spans="1:26" ht="18.75" hidden="1">
      <c r="A379" s="166"/>
      <c r="B379" s="174"/>
      <c r="C379" s="167"/>
      <c r="D379" s="174"/>
      <c r="E379" s="172" t="s">
        <v>162</v>
      </c>
      <c r="F379" s="174"/>
      <c r="G379" s="175"/>
      <c r="H379" s="754" t="s">
        <v>35</v>
      </c>
      <c r="I379" s="264">
        <f ca="1">IFERROR(__xludf.DUMMYFUNCTION("IMPORTRANGE(""https://docs.google.com/spreadsheets/d/1QqKyyYR6Q21VydFLVH3TRQUabQu_ym0Zz7PgGX0-kHA/edit?usp=sharing"",""แผน!EU73"")"),0)</f>
        <v>0</v>
      </c>
      <c r="J379" s="264">
        <f ca="1">IFERROR(__xludf.DUMMYFUNCTION("IMPORTRANGE(""https://docs.google.com/spreadsheets/d/1XWAQStnk-4SwqDmLtmXYiTMKHgktTP8We1SCoS47DrQ/edit?usp=sharing"",""จัดที่ดิน!AJ73"")"),0)</f>
        <v>0</v>
      </c>
      <c r="K379" s="495">
        <f t="shared" ca="1" si="162"/>
        <v>0</v>
      </c>
      <c r="L379" s="159"/>
      <c r="M379" s="159"/>
      <c r="N379" s="159"/>
      <c r="O379" s="159"/>
      <c r="P379" s="159"/>
    </row>
    <row r="380" spans="1:26" ht="18.75" hidden="1">
      <c r="A380" s="166"/>
      <c r="B380" s="174"/>
      <c r="C380" s="167"/>
      <c r="D380" s="174"/>
      <c r="E380" s="174"/>
      <c r="F380" s="174"/>
      <c r="G380" s="175"/>
      <c r="H380" s="754" t="s">
        <v>46</v>
      </c>
      <c r="I380" s="264">
        <v>0</v>
      </c>
      <c r="J380" s="264">
        <f ca="1">IFERROR(__xludf.DUMMYFUNCTION("IMPORTRANGE(""https://docs.google.com/spreadsheets/d/1XWAQStnk-4SwqDmLtmXYiTMKHgktTP8We1SCoS47DrQ/edit?usp=sharing"",""จัดที่ดิน!AK73"")"),0)</f>
        <v>0</v>
      </c>
      <c r="K380" s="495">
        <f t="shared" si="162"/>
        <v>0</v>
      </c>
      <c r="L380" s="159"/>
      <c r="M380" s="159"/>
      <c r="N380" s="159"/>
      <c r="O380" s="159"/>
      <c r="P380" s="159"/>
    </row>
    <row r="381" spans="1:26" ht="18.75" hidden="1">
      <c r="A381" s="166"/>
      <c r="B381" s="174"/>
      <c r="C381" s="167"/>
      <c r="D381" s="174"/>
      <c r="E381" s="172" t="s">
        <v>163</v>
      </c>
      <c r="F381" s="174"/>
      <c r="G381" s="175"/>
      <c r="H381" s="754" t="s">
        <v>35</v>
      </c>
      <c r="I381" s="264">
        <f ca="1">IFERROR(__xludf.DUMMYFUNCTION("IMPORTRANGE(""https://docs.google.com/spreadsheets/d/1QqKyyYR6Q21VydFLVH3TRQUabQu_ym0Zz7PgGX0-kHA/edit?usp=sharing"",""แผน!EU73"")"),0)</f>
        <v>0</v>
      </c>
      <c r="J381" s="264">
        <f ca="1">IFERROR(__xludf.DUMMYFUNCTION("IMPORTRANGE(""https://docs.google.com/spreadsheets/d/1XWAQStnk-4SwqDmLtmXYiTMKHgktTP8We1SCoS47DrQ/edit?usp=sharing"",""จัดที่ดิน!AL73"")"),0)</f>
        <v>0</v>
      </c>
      <c r="K381" s="495">
        <f t="shared" ca="1" si="162"/>
        <v>0</v>
      </c>
      <c r="L381" s="159"/>
      <c r="M381" s="159"/>
      <c r="N381" s="159"/>
      <c r="O381" s="159"/>
      <c r="P381" s="159"/>
    </row>
    <row r="382" spans="1:26" ht="18.75" hidden="1">
      <c r="A382" s="468" t="s">
        <v>164</v>
      </c>
      <c r="B382" s="174"/>
      <c r="C382" s="167"/>
      <c r="D382" s="174"/>
      <c r="E382" s="445"/>
      <c r="F382" s="174"/>
      <c r="G382" s="175"/>
      <c r="H382" s="754" t="s">
        <v>46</v>
      </c>
      <c r="I382" s="264">
        <v>0</v>
      </c>
      <c r="J382" s="264">
        <f ca="1">IFERROR(__xludf.DUMMYFUNCTION("IMPORTRANGE(""https://docs.google.com/spreadsheets/d/1XWAQStnk-4SwqDmLtmXYiTMKHgktTP8We1SCoS47DrQ/edit?usp=sharing"",""จัดที่ดิน!AM73"")"),0)</f>
        <v>0</v>
      </c>
      <c r="K382" s="495">
        <f t="shared" si="162"/>
        <v>0</v>
      </c>
      <c r="L382" s="159"/>
      <c r="M382" s="159"/>
      <c r="N382" s="159"/>
      <c r="O382" s="159"/>
      <c r="P382" s="159"/>
    </row>
    <row r="383" spans="1:26" ht="19.5" hidden="1">
      <c r="A383" s="250"/>
      <c r="B383" s="258"/>
      <c r="C383" s="251"/>
      <c r="D383" s="834" t="s">
        <v>170</v>
      </c>
      <c r="E383" s="251"/>
      <c r="F383" s="251"/>
      <c r="G383" s="253"/>
      <c r="H383" s="453"/>
      <c r="I383" s="255"/>
      <c r="J383" s="255"/>
      <c r="K383" s="256"/>
      <c r="L383" s="256"/>
      <c r="M383" s="256"/>
      <c r="N383" s="256"/>
      <c r="O383" s="256"/>
      <c r="P383" s="256"/>
    </row>
    <row r="384" spans="1:26" ht="19.5" hidden="1">
      <c r="A384" s="166"/>
      <c r="B384" s="167"/>
      <c r="C384" s="32" t="s">
        <v>16</v>
      </c>
      <c r="D384" s="826" t="s">
        <v>38</v>
      </c>
      <c r="E384" s="169"/>
      <c r="F384" s="169"/>
      <c r="G384" s="170"/>
      <c r="H384" s="752"/>
      <c r="I384" s="264"/>
      <c r="J384" s="264"/>
      <c r="K384" s="495"/>
      <c r="L384" s="159"/>
      <c r="M384" s="159"/>
      <c r="N384" s="159"/>
      <c r="O384" s="159"/>
      <c r="P384" s="159"/>
    </row>
    <row r="385" spans="1:26" ht="18.75" hidden="1">
      <c r="A385" s="375"/>
      <c r="B385" s="378"/>
      <c r="C385" s="376"/>
      <c r="D385" s="378"/>
      <c r="E385" s="496" t="s">
        <v>163</v>
      </c>
      <c r="F385" s="378"/>
      <c r="G385" s="379"/>
      <c r="H385" s="497" t="s">
        <v>35</v>
      </c>
      <c r="I385" s="498">
        <f ca="1">IFERROR(__xludf.DUMMYFUNCTION("IMPORTRANGE(""https://docs.google.com/spreadsheets/d/1QqKyyYR6Q21VydFLVH3TRQUabQu_ym0Zz7PgGX0-kHA/edit?usp=sharing"",""แผน!EW73"")"),0)</f>
        <v>0</v>
      </c>
      <c r="J385" s="498">
        <f ca="1">IFERROR(__xludf.DUMMYFUNCTION("IMPORTRANGE(""https://docs.google.com/spreadsheets/d/1XWAQStnk-4SwqDmLtmXYiTMKHgktTP8We1SCoS47DrQ/edit?usp=sharing"",""จัดที่ดิน!AP73"")"),0)</f>
        <v>0</v>
      </c>
      <c r="K385" s="499">
        <f ca="1">IF(I385&gt;0,J385*100/I385,0)</f>
        <v>0</v>
      </c>
      <c r="L385" s="382"/>
      <c r="M385" s="382"/>
      <c r="N385" s="382"/>
      <c r="O385" s="382"/>
      <c r="P385" s="382"/>
    </row>
    <row r="386" spans="1:26" ht="19.5" hidden="1">
      <c r="A386" s="500" t="s">
        <v>171</v>
      </c>
      <c r="B386" s="501"/>
      <c r="C386" s="501"/>
      <c r="D386" s="501"/>
      <c r="E386" s="502"/>
      <c r="F386" s="502"/>
      <c r="G386" s="503"/>
      <c r="H386" s="504"/>
      <c r="I386" s="505"/>
      <c r="J386" s="505"/>
      <c r="K386" s="506"/>
      <c r="L386" s="506"/>
      <c r="M386" s="506"/>
      <c r="N386" s="506"/>
      <c r="O386" s="506"/>
      <c r="P386" s="506"/>
    </row>
    <row r="387" spans="1:26" ht="19.5" hidden="1">
      <c r="A387" s="507" t="s">
        <v>172</v>
      </c>
      <c r="B387" s="508"/>
      <c r="C387" s="508"/>
      <c r="D387" s="509"/>
      <c r="E387" s="508"/>
      <c r="F387" s="508"/>
      <c r="G387" s="508"/>
      <c r="H387" s="510"/>
      <c r="I387" s="511"/>
      <c r="J387" s="511"/>
      <c r="K387" s="512"/>
      <c r="L387" s="512"/>
      <c r="M387" s="512"/>
      <c r="N387" s="512"/>
      <c r="O387" s="512"/>
      <c r="P387" s="512"/>
    </row>
    <row r="388" spans="1:26" ht="19.5" hidden="1">
      <c r="A388" s="513"/>
      <c r="B388" s="514" t="s">
        <v>173</v>
      </c>
      <c r="C388" s="515"/>
      <c r="D388" s="516"/>
      <c r="E388" s="516"/>
      <c r="F388" s="516"/>
      <c r="G388" s="517"/>
      <c r="H388" s="518" t="s">
        <v>69</v>
      </c>
      <c r="I388" s="519">
        <f t="shared" ref="I388:J388" si="163">I400</f>
        <v>0</v>
      </c>
      <c r="J388" s="519">
        <f t="shared" si="163"/>
        <v>0</v>
      </c>
      <c r="K388" s="520">
        <f>IF(I388&gt;0,J388*100/I388,0)</f>
        <v>0</v>
      </c>
      <c r="L388" s="521"/>
      <c r="M388" s="521"/>
      <c r="N388" s="521"/>
      <c r="O388" s="521"/>
      <c r="P388" s="521"/>
    </row>
    <row r="389" spans="1:26" ht="19.5" hidden="1">
      <c r="A389" s="143"/>
      <c r="B389" s="144"/>
      <c r="C389" s="145" t="s">
        <v>16</v>
      </c>
      <c r="D389" s="825" t="s">
        <v>17</v>
      </c>
      <c r="E389" s="144"/>
      <c r="F389" s="144"/>
      <c r="G389" s="147"/>
      <c r="H389" s="148" t="s">
        <v>12</v>
      </c>
      <c r="I389" s="418"/>
      <c r="J389" s="418"/>
      <c r="K389" s="150"/>
      <c r="L389" s="151">
        <f t="shared" ref="L389:N389" ca="1" si="164">L390+L391</f>
        <v>0</v>
      </c>
      <c r="M389" s="151">
        <f t="shared" ca="1" si="164"/>
        <v>0</v>
      </c>
      <c r="N389" s="151">
        <f t="shared" ca="1" si="164"/>
        <v>0</v>
      </c>
      <c r="O389" s="151">
        <f t="shared" ref="O389:O397" ca="1" si="165">IF(L389&gt;0,N389*100/L389,0)</f>
        <v>0</v>
      </c>
      <c r="P389" s="151">
        <f t="shared" ref="P389:P397" ca="1" si="166">IF(M389&gt;0,N389*100/M389,0)</f>
        <v>0</v>
      </c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8.75" hidden="1">
      <c r="A390" s="152"/>
      <c r="B390" s="39"/>
      <c r="C390" s="39"/>
      <c r="D390" s="39"/>
      <c r="E390" s="218" t="s">
        <v>18</v>
      </c>
      <c r="F390" s="39"/>
      <c r="G390" s="153"/>
      <c r="H390" s="154" t="s">
        <v>12</v>
      </c>
      <c r="I390" s="609"/>
      <c r="J390" s="609"/>
      <c r="K390" s="90"/>
      <c r="L390" s="90">
        <f t="shared" ref="L390:N391" si="167">L393+L396</f>
        <v>0</v>
      </c>
      <c r="M390" s="90">
        <f t="shared" si="167"/>
        <v>0</v>
      </c>
      <c r="N390" s="90">
        <f t="shared" si="167"/>
        <v>0</v>
      </c>
      <c r="O390" s="90">
        <f t="shared" si="165"/>
        <v>0</v>
      </c>
      <c r="P390" s="90">
        <f t="shared" si="166"/>
        <v>0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hidden="1">
      <c r="A391" s="152"/>
      <c r="B391" s="39"/>
      <c r="C391" s="39"/>
      <c r="D391" s="39"/>
      <c r="E391" s="218" t="s">
        <v>19</v>
      </c>
      <c r="F391" s="39"/>
      <c r="G391" s="153"/>
      <c r="H391" s="154" t="s">
        <v>12</v>
      </c>
      <c r="I391" s="609"/>
      <c r="J391" s="609"/>
      <c r="K391" s="90"/>
      <c r="L391" s="90">
        <f t="shared" ca="1" si="167"/>
        <v>0</v>
      </c>
      <c r="M391" s="90">
        <f t="shared" ca="1" si="167"/>
        <v>0</v>
      </c>
      <c r="N391" s="90">
        <f t="shared" ca="1" si="167"/>
        <v>0</v>
      </c>
      <c r="O391" s="90">
        <f t="shared" ca="1" si="165"/>
        <v>0</v>
      </c>
      <c r="P391" s="90">
        <f t="shared" ca="1" si="166"/>
        <v>0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hidden="1">
      <c r="A392" s="155"/>
      <c r="B392" s="32"/>
      <c r="C392" s="276"/>
      <c r="D392" s="33" t="s">
        <v>20</v>
      </c>
      <c r="E392" s="32"/>
      <c r="F392" s="32"/>
      <c r="G392" s="34"/>
      <c r="H392" s="157" t="s">
        <v>12</v>
      </c>
      <c r="I392" s="180"/>
      <c r="J392" s="180"/>
      <c r="K392" s="159"/>
      <c r="L392" s="495">
        <f t="shared" ref="L392:N392" ca="1" si="168">L393+L394</f>
        <v>0</v>
      </c>
      <c r="M392" s="495">
        <f t="shared" ca="1" si="168"/>
        <v>0</v>
      </c>
      <c r="N392" s="495">
        <f t="shared" ca="1" si="168"/>
        <v>0</v>
      </c>
      <c r="O392" s="495">
        <f t="shared" ca="1" si="165"/>
        <v>0</v>
      </c>
      <c r="P392" s="495">
        <f t="shared" ca="1" si="166"/>
        <v>0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9.5" hidden="1">
      <c r="A393" s="152"/>
      <c r="B393" s="39"/>
      <c r="C393" s="160"/>
      <c r="D393" s="39"/>
      <c r="E393" s="218" t="s">
        <v>36</v>
      </c>
      <c r="F393" s="39"/>
      <c r="G393" s="153"/>
      <c r="H393" s="161" t="s">
        <v>12</v>
      </c>
      <c r="I393" s="162"/>
      <c r="J393" s="162"/>
      <c r="K393" s="163"/>
      <c r="L393" s="90">
        <v>0</v>
      </c>
      <c r="M393" s="90">
        <v>0</v>
      </c>
      <c r="N393" s="90">
        <v>0</v>
      </c>
      <c r="O393" s="90">
        <f t="shared" si="165"/>
        <v>0</v>
      </c>
      <c r="P393" s="90">
        <f t="shared" si="166"/>
        <v>0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9.5" hidden="1">
      <c r="A394" s="152"/>
      <c r="B394" s="39"/>
      <c r="C394" s="160"/>
      <c r="D394" s="39"/>
      <c r="E394" s="218" t="s">
        <v>37</v>
      </c>
      <c r="F394" s="39"/>
      <c r="G394" s="153"/>
      <c r="H394" s="161" t="s">
        <v>12</v>
      </c>
      <c r="I394" s="162"/>
      <c r="J394" s="162"/>
      <c r="K394" s="163"/>
      <c r="L394" s="90">
        <f ca="1">IFERROR(__xludf.DUMMYFUNCTION("IMPORTRANGE(""https://docs.google.com/spreadsheets/d/1MeEWN-I1oV_STSDYn1IFDPWt_1FKiwhDph83XaGc0o0/edit?usp=sharing"",""งบพรบ!FG73"")"),0)</f>
        <v>0</v>
      </c>
      <c r="M394" s="90">
        <f ca="1">IFERROR(__xludf.DUMMYFUNCTION("IMPORTRANGE(""https://docs.google.com/spreadsheets/d/1MeEWN-I1oV_STSDYn1IFDPWt_1FKiwhDph83XaGc0o0/edit?usp=sharing"",""งบพรบ!FL73"")"),0)</f>
        <v>0</v>
      </c>
      <c r="N394" s="90">
        <f ca="1">IFERROR(__xludf.DUMMYFUNCTION("IMPORTRANGE(""https://docs.google.com/spreadsheets/d/1MeEWN-I1oV_STSDYn1IFDPWt_1FKiwhDph83XaGc0o0/edit?usp=sharing"",""งบพรบ!FN73"")"),0)</f>
        <v>0</v>
      </c>
      <c r="O394" s="90">
        <f t="shared" ca="1" si="165"/>
        <v>0</v>
      </c>
      <c r="P394" s="90">
        <f t="shared" ca="1" si="166"/>
        <v>0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hidden="1">
      <c r="A395" s="155"/>
      <c r="B395" s="32"/>
      <c r="C395" s="276"/>
      <c r="D395" s="33" t="s">
        <v>21</v>
      </c>
      <c r="E395" s="32"/>
      <c r="F395" s="32"/>
      <c r="G395" s="34"/>
      <c r="H395" s="164" t="s">
        <v>12</v>
      </c>
      <c r="I395" s="180"/>
      <c r="J395" s="180"/>
      <c r="K395" s="159"/>
      <c r="L395" s="495">
        <f t="shared" ref="L395:N395" ca="1" si="169">L396+L397</f>
        <v>0</v>
      </c>
      <c r="M395" s="495">
        <f t="shared" ca="1" si="169"/>
        <v>0</v>
      </c>
      <c r="N395" s="495">
        <f t="shared" ca="1" si="169"/>
        <v>0</v>
      </c>
      <c r="O395" s="495">
        <f t="shared" ca="1" si="165"/>
        <v>0</v>
      </c>
      <c r="P395" s="495">
        <f t="shared" ca="1" si="166"/>
        <v>0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9.5" hidden="1">
      <c r="A396" s="152"/>
      <c r="B396" s="39"/>
      <c r="C396" s="160"/>
      <c r="D396" s="39"/>
      <c r="E396" s="218" t="s">
        <v>18</v>
      </c>
      <c r="F396" s="39"/>
      <c r="G396" s="153"/>
      <c r="H396" s="161" t="s">
        <v>12</v>
      </c>
      <c r="I396" s="162"/>
      <c r="J396" s="162"/>
      <c r="K396" s="163"/>
      <c r="L396" s="90">
        <v>0</v>
      </c>
      <c r="M396" s="90">
        <v>0</v>
      </c>
      <c r="N396" s="90">
        <v>0</v>
      </c>
      <c r="O396" s="90">
        <f t="shared" si="165"/>
        <v>0</v>
      </c>
      <c r="P396" s="90">
        <f t="shared" si="166"/>
        <v>0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9.5" hidden="1">
      <c r="A397" s="152"/>
      <c r="B397" s="39"/>
      <c r="C397" s="160"/>
      <c r="D397" s="39"/>
      <c r="E397" s="218" t="s">
        <v>19</v>
      </c>
      <c r="F397" s="39"/>
      <c r="G397" s="153"/>
      <c r="H397" s="165" t="s">
        <v>12</v>
      </c>
      <c r="I397" s="162"/>
      <c r="J397" s="162"/>
      <c r="K397" s="163"/>
      <c r="L397" s="90">
        <f ca="1">IFERROR(__xludf.DUMMYFUNCTION("IMPORTRANGE(""https://docs.google.com/spreadsheets/d/1MeEWN-I1oV_STSDYn1IFDPWt_1FKiwhDph83XaGc0o0/edit?usp=sharing"",""งบพรบ!FJ73"")"),0)</f>
        <v>0</v>
      </c>
      <c r="M397" s="90">
        <f ca="1">IFERROR(__xludf.DUMMYFUNCTION("IMPORTRANGE(""https://docs.google.com/spreadsheets/d/1MeEWN-I1oV_STSDYn1IFDPWt_1FKiwhDph83XaGc0o0/edit?usp=sharing"",""งบพรบ!FM73"")"),0)</f>
        <v>0</v>
      </c>
      <c r="N397" s="90">
        <f ca="1">IFERROR(__xludf.DUMMYFUNCTION("IMPORTRANGE(""https://docs.google.com/spreadsheets/d/1MeEWN-I1oV_STSDYn1IFDPWt_1FKiwhDph83XaGc0o0/edit?usp=sharing"",""งบพรบ!FO73"")"),0)</f>
        <v>0</v>
      </c>
      <c r="O397" s="90">
        <f t="shared" ca="1" si="165"/>
        <v>0</v>
      </c>
      <c r="P397" s="90">
        <f t="shared" ca="1" si="166"/>
        <v>0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9.5" hidden="1">
      <c r="A398" s="166"/>
      <c r="B398" s="167"/>
      <c r="C398" s="160" t="s">
        <v>16</v>
      </c>
      <c r="D398" s="826" t="s">
        <v>38</v>
      </c>
      <c r="E398" s="169"/>
      <c r="F398" s="169"/>
      <c r="G398" s="170"/>
      <c r="H398" s="752"/>
      <c r="I398" s="180"/>
      <c r="J398" s="264"/>
      <c r="K398" s="495"/>
      <c r="L398" s="495"/>
      <c r="M398" s="495"/>
      <c r="N398" s="495"/>
      <c r="O398" s="159"/>
      <c r="P398" s="159"/>
    </row>
    <row r="399" spans="1:26" ht="18.75" hidden="1">
      <c r="A399" s="522"/>
      <c r="B399" s="144"/>
      <c r="C399" s="523"/>
      <c r="D399" s="524" t="s">
        <v>174</v>
      </c>
      <c r="E399" s="413"/>
      <c r="F399" s="144"/>
      <c r="G399" s="147"/>
      <c r="H399" s="525" t="s">
        <v>9</v>
      </c>
      <c r="I399" s="264">
        <v>0</v>
      </c>
      <c r="J399" s="210">
        <v>0</v>
      </c>
      <c r="K399" s="495">
        <f t="shared" ref="K399:K401" si="170">IF(I399&gt;0,J399*100/I399,0)</f>
        <v>0</v>
      </c>
      <c r="L399" s="526"/>
      <c r="M399" s="526"/>
      <c r="N399" s="526"/>
      <c r="O399" s="526"/>
      <c r="P399" s="526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8.75" hidden="1">
      <c r="A400" s="279"/>
      <c r="B400" s="32"/>
      <c r="C400" s="275"/>
      <c r="D400" s="445" t="s">
        <v>175</v>
      </c>
      <c r="E400" s="167"/>
      <c r="F400" s="32"/>
      <c r="G400" s="34"/>
      <c r="H400" s="271" t="s">
        <v>69</v>
      </c>
      <c r="I400" s="264">
        <v>0</v>
      </c>
      <c r="J400" s="210">
        <v>0</v>
      </c>
      <c r="K400" s="495">
        <f t="shared" si="170"/>
        <v>0</v>
      </c>
      <c r="L400" s="495"/>
      <c r="M400" s="495"/>
      <c r="N400" s="495"/>
      <c r="O400" s="495"/>
      <c r="P400" s="495"/>
    </row>
    <row r="401" spans="1:26" ht="19.5" hidden="1">
      <c r="A401" s="513"/>
      <c r="B401" s="514" t="s">
        <v>176</v>
      </c>
      <c r="C401" s="515"/>
      <c r="D401" s="516"/>
      <c r="E401" s="516"/>
      <c r="F401" s="516"/>
      <c r="G401" s="517"/>
      <c r="H401" s="518" t="s">
        <v>69</v>
      </c>
      <c r="I401" s="519">
        <f t="shared" ref="I401:J401" si="171">I412</f>
        <v>0</v>
      </c>
      <c r="J401" s="519">
        <f t="shared" si="171"/>
        <v>0</v>
      </c>
      <c r="K401" s="520">
        <f t="shared" si="170"/>
        <v>0</v>
      </c>
      <c r="L401" s="521"/>
      <c r="M401" s="521"/>
      <c r="N401" s="521"/>
      <c r="O401" s="521"/>
      <c r="P401" s="521"/>
    </row>
    <row r="402" spans="1:26" ht="19.5" hidden="1">
      <c r="A402" s="143"/>
      <c r="B402" s="144"/>
      <c r="C402" s="145" t="s">
        <v>16</v>
      </c>
      <c r="D402" s="825" t="s">
        <v>17</v>
      </c>
      <c r="E402" s="144"/>
      <c r="F402" s="144"/>
      <c r="G402" s="147"/>
      <c r="H402" s="148" t="s">
        <v>12</v>
      </c>
      <c r="I402" s="418"/>
      <c r="J402" s="418"/>
      <c r="K402" s="150"/>
      <c r="L402" s="151">
        <f t="shared" ref="L402:N402" ca="1" si="172">L403+L404</f>
        <v>0</v>
      </c>
      <c r="M402" s="151">
        <f t="shared" ca="1" si="172"/>
        <v>0</v>
      </c>
      <c r="N402" s="151">
        <f t="shared" ca="1" si="172"/>
        <v>0</v>
      </c>
      <c r="O402" s="151">
        <f t="shared" ref="O402:O410" ca="1" si="173">IF(L402&gt;0,N402*100/L402,0)</f>
        <v>0</v>
      </c>
      <c r="P402" s="151">
        <f t="shared" ref="P402:P410" ca="1" si="174">IF(M402&gt;0,N402*100/M402,0)</f>
        <v>0</v>
      </c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8.75" hidden="1">
      <c r="A403" s="152"/>
      <c r="B403" s="39"/>
      <c r="C403" s="39"/>
      <c r="D403" s="39"/>
      <c r="E403" s="218" t="s">
        <v>18</v>
      </c>
      <c r="F403" s="39"/>
      <c r="G403" s="153"/>
      <c r="H403" s="154" t="s">
        <v>12</v>
      </c>
      <c r="I403" s="609"/>
      <c r="J403" s="609"/>
      <c r="K403" s="90"/>
      <c r="L403" s="90">
        <f t="shared" ref="L403:N404" si="175">L406+L409</f>
        <v>0</v>
      </c>
      <c r="M403" s="90">
        <f t="shared" si="175"/>
        <v>0</v>
      </c>
      <c r="N403" s="90">
        <f t="shared" si="175"/>
        <v>0</v>
      </c>
      <c r="O403" s="90">
        <f t="shared" si="173"/>
        <v>0</v>
      </c>
      <c r="P403" s="90">
        <f t="shared" si="174"/>
        <v>0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hidden="1">
      <c r="A404" s="152"/>
      <c r="B404" s="39"/>
      <c r="C404" s="39"/>
      <c r="D404" s="39"/>
      <c r="E404" s="218" t="s">
        <v>19</v>
      </c>
      <c r="F404" s="39"/>
      <c r="G404" s="153"/>
      <c r="H404" s="154" t="s">
        <v>12</v>
      </c>
      <c r="I404" s="609"/>
      <c r="J404" s="609"/>
      <c r="K404" s="90"/>
      <c r="L404" s="90">
        <f t="shared" ca="1" si="175"/>
        <v>0</v>
      </c>
      <c r="M404" s="90">
        <f t="shared" ca="1" si="175"/>
        <v>0</v>
      </c>
      <c r="N404" s="90">
        <f t="shared" ca="1" si="175"/>
        <v>0</v>
      </c>
      <c r="O404" s="90">
        <f t="shared" ca="1" si="173"/>
        <v>0</v>
      </c>
      <c r="P404" s="90">
        <f t="shared" ca="1" si="174"/>
        <v>0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hidden="1">
      <c r="A405" s="155"/>
      <c r="B405" s="32"/>
      <c r="C405" s="276"/>
      <c r="D405" s="33" t="s">
        <v>20</v>
      </c>
      <c r="E405" s="32"/>
      <c r="F405" s="32"/>
      <c r="G405" s="34"/>
      <c r="H405" s="157" t="s">
        <v>12</v>
      </c>
      <c r="I405" s="180"/>
      <c r="J405" s="180"/>
      <c r="K405" s="159"/>
      <c r="L405" s="495">
        <f t="shared" ref="L405:N405" ca="1" si="176">L406+L407</f>
        <v>0</v>
      </c>
      <c r="M405" s="495">
        <f t="shared" ca="1" si="176"/>
        <v>0</v>
      </c>
      <c r="N405" s="495">
        <f t="shared" ca="1" si="176"/>
        <v>0</v>
      </c>
      <c r="O405" s="495">
        <f t="shared" ca="1" si="173"/>
        <v>0</v>
      </c>
      <c r="P405" s="495">
        <f t="shared" ca="1" si="174"/>
        <v>0</v>
      </c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9.5" hidden="1">
      <c r="A406" s="152"/>
      <c r="B406" s="39"/>
      <c r="C406" s="160"/>
      <c r="D406" s="39"/>
      <c r="E406" s="218" t="s">
        <v>36</v>
      </c>
      <c r="F406" s="39"/>
      <c r="G406" s="153"/>
      <c r="H406" s="161" t="s">
        <v>12</v>
      </c>
      <c r="I406" s="162"/>
      <c r="J406" s="162"/>
      <c r="K406" s="163"/>
      <c r="L406" s="90">
        <v>0</v>
      </c>
      <c r="M406" s="90">
        <v>0</v>
      </c>
      <c r="N406" s="90">
        <v>0</v>
      </c>
      <c r="O406" s="90">
        <f t="shared" si="173"/>
        <v>0</v>
      </c>
      <c r="P406" s="90">
        <f t="shared" si="174"/>
        <v>0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9.5" hidden="1">
      <c r="A407" s="152"/>
      <c r="B407" s="39"/>
      <c r="C407" s="160"/>
      <c r="D407" s="39"/>
      <c r="E407" s="218" t="s">
        <v>37</v>
      </c>
      <c r="F407" s="39"/>
      <c r="G407" s="153"/>
      <c r="H407" s="161" t="s">
        <v>12</v>
      </c>
      <c r="I407" s="162"/>
      <c r="J407" s="162"/>
      <c r="K407" s="163"/>
      <c r="L407" s="90">
        <f ca="1">IFERROR(__xludf.DUMMYFUNCTION("IMPORTRANGE(""https://docs.google.com/spreadsheets/d/1MeEWN-I1oV_STSDYn1IFDPWt_1FKiwhDph83XaGc0o0/edit?usp=sharing"",""งบพรบ!FQ73"")"),0)</f>
        <v>0</v>
      </c>
      <c r="M407" s="90">
        <f ca="1">IFERROR(__xludf.DUMMYFUNCTION("IMPORTRANGE(""https://docs.google.com/spreadsheets/d/1MeEWN-I1oV_STSDYn1IFDPWt_1FKiwhDph83XaGc0o0/edit?usp=sharing"",""งบพรบ!FV73"")"),0)</f>
        <v>0</v>
      </c>
      <c r="N407" s="90">
        <f ca="1">IFERROR(__xludf.DUMMYFUNCTION("IMPORTRANGE(""https://docs.google.com/spreadsheets/d/1MeEWN-I1oV_STSDYn1IFDPWt_1FKiwhDph83XaGc0o0/edit?usp=sharing"",""งบพรบ!FX73"")"),0)</f>
        <v>0</v>
      </c>
      <c r="O407" s="90">
        <f t="shared" ca="1" si="173"/>
        <v>0</v>
      </c>
      <c r="P407" s="90">
        <f t="shared" ca="1" si="174"/>
        <v>0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hidden="1">
      <c r="A408" s="155"/>
      <c r="B408" s="32"/>
      <c r="C408" s="276"/>
      <c r="D408" s="33" t="s">
        <v>21</v>
      </c>
      <c r="E408" s="32"/>
      <c r="F408" s="32"/>
      <c r="G408" s="34"/>
      <c r="H408" s="164" t="s">
        <v>12</v>
      </c>
      <c r="I408" s="180"/>
      <c r="J408" s="180"/>
      <c r="K408" s="159"/>
      <c r="L408" s="495">
        <f t="shared" ref="L408:N408" ca="1" si="177">L409+L410</f>
        <v>0</v>
      </c>
      <c r="M408" s="495">
        <f t="shared" ca="1" si="177"/>
        <v>0</v>
      </c>
      <c r="N408" s="495">
        <f t="shared" ca="1" si="177"/>
        <v>0</v>
      </c>
      <c r="O408" s="495">
        <f t="shared" ca="1" si="173"/>
        <v>0</v>
      </c>
      <c r="P408" s="495">
        <f t="shared" ca="1" si="174"/>
        <v>0</v>
      </c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9.5" hidden="1">
      <c r="A409" s="152"/>
      <c r="B409" s="39"/>
      <c r="C409" s="160"/>
      <c r="D409" s="39"/>
      <c r="E409" s="218" t="s">
        <v>18</v>
      </c>
      <c r="F409" s="39"/>
      <c r="G409" s="153"/>
      <c r="H409" s="161" t="s">
        <v>12</v>
      </c>
      <c r="I409" s="162"/>
      <c r="J409" s="162"/>
      <c r="K409" s="163"/>
      <c r="L409" s="90">
        <v>0</v>
      </c>
      <c r="M409" s="90">
        <v>0</v>
      </c>
      <c r="N409" s="90">
        <v>0</v>
      </c>
      <c r="O409" s="90">
        <f t="shared" si="173"/>
        <v>0</v>
      </c>
      <c r="P409" s="90">
        <f t="shared" si="174"/>
        <v>0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9.5" hidden="1">
      <c r="A410" s="152"/>
      <c r="B410" s="39"/>
      <c r="C410" s="160"/>
      <c r="D410" s="39"/>
      <c r="E410" s="218" t="s">
        <v>19</v>
      </c>
      <c r="F410" s="39"/>
      <c r="G410" s="153"/>
      <c r="H410" s="165" t="s">
        <v>12</v>
      </c>
      <c r="I410" s="162"/>
      <c r="J410" s="162"/>
      <c r="K410" s="163"/>
      <c r="L410" s="90">
        <f ca="1">IFERROR(__xludf.DUMMYFUNCTION("IMPORTRANGE(""https://docs.google.com/spreadsheets/d/1MeEWN-I1oV_STSDYn1IFDPWt_1FKiwhDph83XaGc0o0/edit?usp=sharing"",""งบพรบ!FT73"")"),0)</f>
        <v>0</v>
      </c>
      <c r="M410" s="90">
        <f ca="1">IFERROR(__xludf.DUMMYFUNCTION("IMPORTRANGE(""https://docs.google.com/spreadsheets/d/1MeEWN-I1oV_STSDYn1IFDPWt_1FKiwhDph83XaGc0o0/edit?usp=sharing"",""งบพรบ!FW73"")"),0)</f>
        <v>0</v>
      </c>
      <c r="N410" s="90">
        <f ca="1">IFERROR(__xludf.DUMMYFUNCTION("IMPORTRANGE(""https://docs.google.com/spreadsheets/d/1MeEWN-I1oV_STSDYn1IFDPWt_1FKiwhDph83XaGc0o0/edit?usp=sharing"",""งบพรบ!FY73"")"),0)</f>
        <v>0</v>
      </c>
      <c r="O410" s="90">
        <f t="shared" ca="1" si="173"/>
        <v>0</v>
      </c>
      <c r="P410" s="90">
        <f t="shared" ca="1" si="174"/>
        <v>0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9.5" hidden="1">
      <c r="A411" s="166"/>
      <c r="B411" s="167"/>
      <c r="C411" s="160" t="s">
        <v>16</v>
      </c>
      <c r="D411" s="836" t="s">
        <v>38</v>
      </c>
      <c r="E411" s="528"/>
      <c r="F411" s="528"/>
      <c r="G411" s="529"/>
      <c r="H411" s="752"/>
      <c r="I411" s="264"/>
      <c r="J411" s="264"/>
      <c r="K411" s="495"/>
      <c r="L411" s="159"/>
      <c r="M411" s="159"/>
      <c r="N411" s="159"/>
      <c r="O411" s="159"/>
      <c r="P411" s="159"/>
    </row>
    <row r="412" spans="1:26" ht="18.75" hidden="1">
      <c r="A412" s="166"/>
      <c r="B412" s="174"/>
      <c r="C412" s="174"/>
      <c r="D412" s="445" t="s">
        <v>177</v>
      </c>
      <c r="E412" s="174"/>
      <c r="F412" s="174"/>
      <c r="G412" s="175"/>
      <c r="H412" s="530" t="s">
        <v>69</v>
      </c>
      <c r="I412" s="264">
        <v>0</v>
      </c>
      <c r="J412" s="210">
        <v>0</v>
      </c>
      <c r="K412" s="495">
        <f t="shared" ref="K412:K413" si="178">IF(I412&gt;0,J412*100/I412,0)</f>
        <v>0</v>
      </c>
      <c r="L412" s="159"/>
      <c r="M412" s="159"/>
      <c r="N412" s="159"/>
      <c r="O412" s="159"/>
      <c r="P412" s="159"/>
    </row>
    <row r="413" spans="1:26" ht="19.5" hidden="1" thickBot="1">
      <c r="A413" s="531"/>
      <c r="B413" s="532"/>
      <c r="C413" s="532"/>
      <c r="D413" s="533" t="s">
        <v>178</v>
      </c>
      <c r="E413" s="532"/>
      <c r="F413" s="532"/>
      <c r="G413" s="534"/>
      <c r="H413" s="535" t="s">
        <v>179</v>
      </c>
      <c r="I413" s="536">
        <v>0</v>
      </c>
      <c r="J413" s="537">
        <v>0</v>
      </c>
      <c r="K413" s="538">
        <f t="shared" si="178"/>
        <v>0</v>
      </c>
      <c r="L413" s="539"/>
      <c r="M413" s="539"/>
      <c r="N413" s="539"/>
      <c r="O413" s="539"/>
      <c r="P413" s="539"/>
    </row>
    <row r="414" spans="1:26" ht="19.5">
      <c r="A414" s="540" t="s">
        <v>180</v>
      </c>
      <c r="B414" s="541"/>
      <c r="C414" s="541"/>
      <c r="D414" s="541"/>
      <c r="E414" s="541"/>
      <c r="F414" s="541"/>
      <c r="G414" s="542"/>
      <c r="H414" s="543"/>
      <c r="I414" s="544"/>
      <c r="J414" s="544"/>
      <c r="K414" s="545"/>
      <c r="L414" s="546">
        <f t="shared" ref="L414:N414" ca="1" si="179">L419+L444+L467+L502+L523+L544+L629+L655+L685+L737+L754+L770+L786+L805</f>
        <v>232380</v>
      </c>
      <c r="M414" s="546">
        <f t="shared" si="179"/>
        <v>0</v>
      </c>
      <c r="N414" s="546">
        <f t="shared" si="179"/>
        <v>10290</v>
      </c>
      <c r="O414" s="546">
        <f ca="1">IF(L414&gt;0,N414*100/L414,0)</f>
        <v>4.4280919184095016</v>
      </c>
      <c r="P414" s="546">
        <f>IF(M414&gt;0,N414*100/M414,0)</f>
        <v>0</v>
      </c>
    </row>
    <row r="415" spans="1:26" ht="19.5">
      <c r="A415" s="547" t="s">
        <v>181</v>
      </c>
      <c r="B415" s="548"/>
      <c r="C415" s="548"/>
      <c r="D415" s="548"/>
      <c r="E415" s="548"/>
      <c r="F415" s="548"/>
      <c r="G415" s="548"/>
      <c r="H415" s="549"/>
      <c r="I415" s="550"/>
      <c r="J415" s="550"/>
      <c r="K415" s="551"/>
      <c r="L415" s="552"/>
      <c r="M415" s="552"/>
      <c r="N415" s="552"/>
      <c r="O415" s="552"/>
      <c r="P415" s="552"/>
    </row>
    <row r="416" spans="1:26" ht="19.5">
      <c r="A416" s="547" t="s">
        <v>182</v>
      </c>
      <c r="B416" s="548"/>
      <c r="C416" s="548"/>
      <c r="D416" s="548"/>
      <c r="E416" s="548"/>
      <c r="F416" s="548"/>
      <c r="G416" s="553"/>
      <c r="H416" s="554"/>
      <c r="I416" s="555"/>
      <c r="J416" s="555"/>
      <c r="K416" s="552"/>
      <c r="L416" s="552"/>
      <c r="M416" s="552"/>
      <c r="N416" s="552"/>
      <c r="O416" s="552"/>
      <c r="P416" s="552"/>
    </row>
    <row r="417" spans="1:26" ht="20.25" customHeight="1">
      <c r="A417" s="556">
        <v>1</v>
      </c>
      <c r="B417" s="558" t="s">
        <v>183</v>
      </c>
      <c r="C417" s="558"/>
      <c r="D417" s="559"/>
      <c r="E417" s="559"/>
      <c r="F417" s="559"/>
      <c r="G417" s="560"/>
      <c r="H417" s="561" t="s">
        <v>35</v>
      </c>
      <c r="I417" s="562">
        <f t="shared" ref="I417:J418" ca="1" si="180">I433</f>
        <v>10</v>
      </c>
      <c r="J417" s="562">
        <f t="shared" ca="1" si="180"/>
        <v>0</v>
      </c>
      <c r="K417" s="563">
        <f t="shared" ref="K417:K418" ca="1" si="181">IF(I417&gt;0,J417*100/I417,0)</f>
        <v>0</v>
      </c>
      <c r="L417" s="564"/>
      <c r="M417" s="564"/>
      <c r="N417" s="564"/>
      <c r="O417" s="564"/>
      <c r="P417" s="564"/>
    </row>
    <row r="418" spans="1:26" ht="19.5">
      <c r="A418" s="565"/>
      <c r="B418" s="556"/>
      <c r="C418" s="558"/>
      <c r="D418" s="559"/>
      <c r="E418" s="559"/>
      <c r="F418" s="559"/>
      <c r="G418" s="560"/>
      <c r="H418" s="561" t="s">
        <v>49</v>
      </c>
      <c r="I418" s="562">
        <f t="shared" ca="1" si="180"/>
        <v>1</v>
      </c>
      <c r="J418" s="562">
        <f t="shared" si="180"/>
        <v>0</v>
      </c>
      <c r="K418" s="563">
        <f t="shared" ca="1" si="181"/>
        <v>0</v>
      </c>
      <c r="L418" s="564"/>
      <c r="M418" s="564"/>
      <c r="N418" s="564"/>
      <c r="O418" s="564"/>
      <c r="P418" s="564"/>
    </row>
    <row r="419" spans="1:26" ht="19.5">
      <c r="A419" s="143"/>
      <c r="B419" s="144"/>
      <c r="C419" s="144" t="s">
        <v>16</v>
      </c>
      <c r="D419" s="869" t="s">
        <v>17</v>
      </c>
      <c r="E419" s="848"/>
      <c r="F419" s="848"/>
      <c r="G419" s="147"/>
      <c r="H419" s="269" t="s">
        <v>12</v>
      </c>
      <c r="I419" s="418"/>
      <c r="J419" s="418"/>
      <c r="K419" s="150"/>
      <c r="L419" s="151">
        <f t="shared" ref="L419:N419" ca="1" si="182">L420+L421</f>
        <v>54560</v>
      </c>
      <c r="M419" s="151">
        <f t="shared" si="182"/>
        <v>0</v>
      </c>
      <c r="N419" s="151">
        <f t="shared" si="182"/>
        <v>0</v>
      </c>
      <c r="O419" s="151">
        <f t="shared" ref="O419:O424" ca="1" si="183">IF(L419&gt;0,N419*100/L419,0)</f>
        <v>0</v>
      </c>
      <c r="P419" s="151">
        <f t="shared" ref="P419:P424" si="184">IF(M419&gt;0,N419*100/M419,0)</f>
        <v>0</v>
      </c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8.75" hidden="1">
      <c r="A420" s="152"/>
      <c r="B420" s="39"/>
      <c r="C420" s="39"/>
      <c r="D420" s="368"/>
      <c r="E420" s="218" t="s">
        <v>184</v>
      </c>
      <c r="F420" s="39"/>
      <c r="G420" s="153"/>
      <c r="H420" s="161" t="s">
        <v>12</v>
      </c>
      <c r="I420" s="609"/>
      <c r="J420" s="609"/>
      <c r="K420" s="90"/>
      <c r="L420" s="90">
        <f t="shared" ref="L420:N421" si="185">L423+L430</f>
        <v>0</v>
      </c>
      <c r="M420" s="90">
        <f t="shared" si="185"/>
        <v>0</v>
      </c>
      <c r="N420" s="90">
        <f t="shared" si="185"/>
        <v>0</v>
      </c>
      <c r="O420" s="90">
        <f t="shared" si="183"/>
        <v>0</v>
      </c>
      <c r="P420" s="90">
        <f t="shared" si="184"/>
        <v>0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hidden="1">
      <c r="A421" s="152"/>
      <c r="B421" s="39"/>
      <c r="C421" s="39"/>
      <c r="D421" s="368"/>
      <c r="E421" s="218" t="s">
        <v>185</v>
      </c>
      <c r="F421" s="39"/>
      <c r="G421" s="153"/>
      <c r="H421" s="161" t="s">
        <v>12</v>
      </c>
      <c r="I421" s="609"/>
      <c r="J421" s="609"/>
      <c r="K421" s="90"/>
      <c r="L421" s="90">
        <f t="shared" ca="1" si="185"/>
        <v>54560</v>
      </c>
      <c r="M421" s="90">
        <f t="shared" si="185"/>
        <v>0</v>
      </c>
      <c r="N421" s="90">
        <f t="shared" si="185"/>
        <v>0</v>
      </c>
      <c r="O421" s="90">
        <f t="shared" ca="1" si="183"/>
        <v>0</v>
      </c>
      <c r="P421" s="90">
        <f t="shared" si="184"/>
        <v>0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>
      <c r="A422" s="155"/>
      <c r="B422" s="275"/>
      <c r="C422" s="32"/>
      <c r="D422" s="33" t="s">
        <v>20</v>
      </c>
      <c r="E422" s="32"/>
      <c r="F422" s="32"/>
      <c r="G422" s="34"/>
      <c r="H422" s="157" t="s">
        <v>12</v>
      </c>
      <c r="I422" s="180"/>
      <c r="J422" s="180"/>
      <c r="K422" s="159"/>
      <c r="L422" s="495">
        <f t="shared" ref="L422:N422" ca="1" si="186">L423+L424</f>
        <v>54560</v>
      </c>
      <c r="M422" s="495">
        <f t="shared" si="186"/>
        <v>0</v>
      </c>
      <c r="N422" s="495">
        <f t="shared" si="186"/>
        <v>0</v>
      </c>
      <c r="O422" s="495">
        <f t="shared" ca="1" si="183"/>
        <v>0</v>
      </c>
      <c r="P422" s="495">
        <f t="shared" si="184"/>
        <v>0</v>
      </c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8.75" hidden="1">
      <c r="A423" s="152"/>
      <c r="B423" s="39"/>
      <c r="C423" s="39"/>
      <c r="D423" s="368"/>
      <c r="E423" s="218" t="s">
        <v>184</v>
      </c>
      <c r="F423" s="39"/>
      <c r="G423" s="153"/>
      <c r="H423" s="161" t="s">
        <v>12</v>
      </c>
      <c r="I423" s="609"/>
      <c r="J423" s="609"/>
      <c r="K423" s="90"/>
      <c r="L423" s="90">
        <v>0</v>
      </c>
      <c r="M423" s="90">
        <v>0</v>
      </c>
      <c r="N423" s="90">
        <v>0</v>
      </c>
      <c r="O423" s="90">
        <f t="shared" si="183"/>
        <v>0</v>
      </c>
      <c r="P423" s="90">
        <f t="shared" si="184"/>
        <v>0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hidden="1">
      <c r="A424" s="152"/>
      <c r="B424" s="39"/>
      <c r="C424" s="39"/>
      <c r="D424" s="368"/>
      <c r="E424" s="218" t="s">
        <v>185</v>
      </c>
      <c r="F424" s="39"/>
      <c r="G424" s="153"/>
      <c r="H424" s="161" t="s">
        <v>12</v>
      </c>
      <c r="I424" s="609"/>
      <c r="J424" s="609"/>
      <c r="K424" s="90"/>
      <c r="L424" s="90">
        <f ca="1">IFERROR(__xludf.DUMMYFUNCTION("IMPORTRANGE(""https://docs.google.com/spreadsheets/d/1QqKyyYR6Q21VydFLVH3TRQUabQu_ym0Zz7PgGX0-kHA/edit?usp=sharing"",""แผน!EY73"")"),54560)</f>
        <v>54560</v>
      </c>
      <c r="M424" s="90">
        <v>0</v>
      </c>
      <c r="N424" s="90">
        <f>N425+N426+N427+N428</f>
        <v>0</v>
      </c>
      <c r="O424" s="90">
        <f t="shared" ca="1" si="183"/>
        <v>0</v>
      </c>
      <c r="P424" s="90">
        <f t="shared" si="184"/>
        <v>0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>
      <c r="A425" s="566"/>
      <c r="B425" s="567"/>
      <c r="C425" s="753"/>
      <c r="D425" s="753"/>
      <c r="E425" s="753"/>
      <c r="F425" s="753" t="s">
        <v>186</v>
      </c>
      <c r="G425" s="185"/>
      <c r="H425" s="157" t="s">
        <v>12</v>
      </c>
      <c r="I425" s="264"/>
      <c r="J425" s="264"/>
      <c r="K425" s="495"/>
      <c r="L425" s="495"/>
      <c r="M425" s="495"/>
      <c r="N425" s="816">
        <v>0</v>
      </c>
      <c r="O425" s="495"/>
      <c r="P425" s="495"/>
      <c r="Q425" s="570"/>
      <c r="R425" s="570"/>
      <c r="S425" s="570"/>
      <c r="T425" s="570"/>
      <c r="U425" s="570"/>
      <c r="V425" s="570"/>
      <c r="W425" s="570"/>
      <c r="X425" s="570"/>
      <c r="Y425" s="570"/>
      <c r="Z425" s="570"/>
    </row>
    <row r="426" spans="1:26" ht="18.75">
      <c r="A426" s="566"/>
      <c r="B426" s="567"/>
      <c r="C426" s="753"/>
      <c r="D426" s="753"/>
      <c r="E426" s="753"/>
      <c r="F426" s="753" t="s">
        <v>187</v>
      </c>
      <c r="G426" s="185"/>
      <c r="H426" s="157" t="s">
        <v>12</v>
      </c>
      <c r="I426" s="264"/>
      <c r="J426" s="264"/>
      <c r="K426" s="495"/>
      <c r="L426" s="495"/>
      <c r="M426" s="495"/>
      <c r="N426" s="816">
        <v>0</v>
      </c>
      <c r="O426" s="495"/>
      <c r="P426" s="495"/>
      <c r="Q426" s="570"/>
      <c r="R426" s="570"/>
      <c r="S426" s="570"/>
      <c r="T426" s="570"/>
      <c r="U426" s="570"/>
      <c r="V426" s="570"/>
      <c r="W426" s="570"/>
      <c r="X426" s="570"/>
      <c r="Y426" s="570"/>
      <c r="Z426" s="570"/>
    </row>
    <row r="427" spans="1:26" ht="18.75">
      <c r="A427" s="566"/>
      <c r="B427" s="567"/>
      <c r="C427" s="753"/>
      <c r="D427" s="753"/>
      <c r="E427" s="753"/>
      <c r="F427" s="753" t="s">
        <v>188</v>
      </c>
      <c r="G427" s="185"/>
      <c r="H427" s="157" t="s">
        <v>12</v>
      </c>
      <c r="I427" s="264"/>
      <c r="J427" s="264"/>
      <c r="K427" s="495"/>
      <c r="L427" s="495"/>
      <c r="M427" s="495"/>
      <c r="N427" s="816">
        <v>0</v>
      </c>
      <c r="O427" s="495"/>
      <c r="P427" s="495"/>
      <c r="Q427" s="570"/>
      <c r="R427" s="570"/>
      <c r="S427" s="570"/>
      <c r="T427" s="570"/>
      <c r="U427" s="570"/>
      <c r="V427" s="570"/>
      <c r="W427" s="570"/>
      <c r="X427" s="570"/>
      <c r="Y427" s="570"/>
      <c r="Z427" s="570"/>
    </row>
    <row r="428" spans="1:26" ht="18.75">
      <c r="A428" s="279"/>
      <c r="B428" s="275"/>
      <c r="C428" s="32"/>
      <c r="D428" s="32"/>
      <c r="E428" s="32"/>
      <c r="F428" s="276" t="s">
        <v>189</v>
      </c>
      <c r="G428" s="209"/>
      <c r="H428" s="157" t="s">
        <v>12</v>
      </c>
      <c r="I428" s="264"/>
      <c r="J428" s="264"/>
      <c r="K428" s="495"/>
      <c r="L428" s="495"/>
      <c r="M428" s="495"/>
      <c r="N428" s="816">
        <v>0</v>
      </c>
      <c r="O428" s="495"/>
      <c r="P428" s="495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8.75">
      <c r="A429" s="155"/>
      <c r="B429" s="275"/>
      <c r="C429" s="32"/>
      <c r="D429" s="33" t="s">
        <v>21</v>
      </c>
      <c r="E429" s="32"/>
      <c r="F429" s="32"/>
      <c r="G429" s="34"/>
      <c r="H429" s="164" t="s">
        <v>12</v>
      </c>
      <c r="I429" s="180"/>
      <c r="J429" s="180"/>
      <c r="K429" s="159"/>
      <c r="L429" s="495">
        <f t="shared" ref="L429:N429" ca="1" si="187">L430+L431</f>
        <v>0</v>
      </c>
      <c r="M429" s="495">
        <f t="shared" si="187"/>
        <v>0</v>
      </c>
      <c r="N429" s="495">
        <f t="shared" si="187"/>
        <v>0</v>
      </c>
      <c r="O429" s="495">
        <f t="shared" ref="O429:O431" ca="1" si="188">IF(L429&gt;0,N429*100/L429,0)</f>
        <v>0</v>
      </c>
      <c r="P429" s="495">
        <f t="shared" ref="P429:P431" si="189">IF(M429&gt;0,N429*100/M429,0)</f>
        <v>0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8.75" hidden="1">
      <c r="A430" s="152"/>
      <c r="B430" s="352"/>
      <c r="C430" s="39"/>
      <c r="D430" s="39"/>
      <c r="E430" s="218" t="s">
        <v>18</v>
      </c>
      <c r="F430" s="39"/>
      <c r="G430" s="41"/>
      <c r="H430" s="161" t="s">
        <v>12</v>
      </c>
      <c r="I430" s="162"/>
      <c r="J430" s="162"/>
      <c r="K430" s="163"/>
      <c r="L430" s="90">
        <v>0</v>
      </c>
      <c r="M430" s="90">
        <v>0</v>
      </c>
      <c r="N430" s="90">
        <v>0</v>
      </c>
      <c r="O430" s="90">
        <f t="shared" si="188"/>
        <v>0</v>
      </c>
      <c r="P430" s="90">
        <f t="shared" si="189"/>
        <v>0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hidden="1">
      <c r="A431" s="152"/>
      <c r="B431" s="352"/>
      <c r="C431" s="39"/>
      <c r="D431" s="39"/>
      <c r="E431" s="218" t="s">
        <v>19</v>
      </c>
      <c r="F431" s="39"/>
      <c r="G431" s="41"/>
      <c r="H431" s="165" t="s">
        <v>12</v>
      </c>
      <c r="I431" s="162"/>
      <c r="J431" s="162"/>
      <c r="K431" s="163"/>
      <c r="L431" s="90">
        <f ca="1">IFERROR(__xludf.DUMMYFUNCTION("IMPORTRANGE(""https://docs.google.com/spreadsheets/d/1QqKyyYR6Q21VydFLVH3TRQUabQu_ym0Zz7PgGX0-kHA/edit?usp=sharing"",""แผน!FB73"")"),0)</f>
        <v>0</v>
      </c>
      <c r="M431" s="90">
        <v>0</v>
      </c>
      <c r="N431" s="90">
        <v>0</v>
      </c>
      <c r="O431" s="90">
        <f t="shared" ca="1" si="188"/>
        <v>0</v>
      </c>
      <c r="P431" s="90">
        <f t="shared" si="189"/>
        <v>0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9.5">
      <c r="A432" s="412"/>
      <c r="B432" s="413"/>
      <c r="C432" s="144" t="s">
        <v>16</v>
      </c>
      <c r="D432" s="837" t="s">
        <v>38</v>
      </c>
      <c r="E432" s="572"/>
      <c r="F432" s="572"/>
      <c r="G432" s="573"/>
      <c r="H432" s="574"/>
      <c r="I432" s="418"/>
      <c r="J432" s="418"/>
      <c r="K432" s="150"/>
      <c r="L432" s="150"/>
      <c r="M432" s="150"/>
      <c r="N432" s="150"/>
      <c r="O432" s="150"/>
      <c r="P432" s="150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9.5">
      <c r="A433" s="166"/>
      <c r="B433" s="167"/>
      <c r="C433" s="167"/>
      <c r="D433" s="187" t="s">
        <v>190</v>
      </c>
      <c r="E433" s="174"/>
      <c r="F433" s="174"/>
      <c r="G433" s="175"/>
      <c r="H433" s="192" t="s">
        <v>35</v>
      </c>
      <c r="I433" s="673">
        <f ca="1">I435</f>
        <v>10</v>
      </c>
      <c r="J433" s="673">
        <f ca="1">IF(AND(J435=I435,J437=I437,J439=I439),I437+I439,IF(AND(J435=I437,J437=I437),I437,IF(AND(J435=I439,J439=I439),I439,0)))</f>
        <v>0</v>
      </c>
      <c r="K433" s="191">
        <f t="shared" ref="K433:K435" ca="1" si="190">IF(I433&gt;0,J433*100/I433,0)</f>
        <v>0</v>
      </c>
      <c r="L433" s="495"/>
      <c r="M433" s="495"/>
      <c r="N433" s="495"/>
      <c r="O433" s="495"/>
      <c r="P433" s="495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9.5">
      <c r="A434" s="166"/>
      <c r="B434" s="167"/>
      <c r="C434" s="167"/>
      <c r="D434" s="187" t="s">
        <v>191</v>
      </c>
      <c r="E434" s="174"/>
      <c r="F434" s="174"/>
      <c r="G434" s="175"/>
      <c r="H434" s="192" t="s">
        <v>49</v>
      </c>
      <c r="I434" s="673">
        <f t="shared" ref="I434:J434" ca="1" si="191">I438+I440</f>
        <v>1</v>
      </c>
      <c r="J434" s="673">
        <f t="shared" si="191"/>
        <v>0</v>
      </c>
      <c r="K434" s="191">
        <f t="shared" ca="1" si="190"/>
        <v>0</v>
      </c>
      <c r="L434" s="495"/>
      <c r="M434" s="495"/>
      <c r="N434" s="495"/>
      <c r="O434" s="495"/>
      <c r="P434" s="495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8.75">
      <c r="A435" s="166"/>
      <c r="B435" s="167"/>
      <c r="C435" s="167"/>
      <c r="D435" s="445" t="s">
        <v>192</v>
      </c>
      <c r="E435" s="174"/>
      <c r="F435" s="174"/>
      <c r="G435" s="175"/>
      <c r="H435" s="615" t="s">
        <v>35</v>
      </c>
      <c r="I435" s="575">
        <f ca="1">IFERROR(__xludf.DUMMYFUNCTION("IMPORTRANGE(""https://docs.google.com/spreadsheets/d/1QqKyyYR6Q21VydFLVH3TRQUabQu_ym0Zz7PgGX0-kHA/edit?usp=sharing"",""แผน!FC73"")"),10)</f>
        <v>10</v>
      </c>
      <c r="J435" s="576">
        <v>0</v>
      </c>
      <c r="K435" s="495">
        <f t="shared" ca="1" si="190"/>
        <v>0</v>
      </c>
      <c r="L435" s="495"/>
      <c r="M435" s="495"/>
      <c r="N435" s="495"/>
      <c r="O435" s="495"/>
      <c r="P435" s="495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8.75">
      <c r="A436" s="166"/>
      <c r="B436" s="167"/>
      <c r="C436" s="167"/>
      <c r="D436" s="445" t="s">
        <v>193</v>
      </c>
      <c r="E436" s="174"/>
      <c r="F436" s="174"/>
      <c r="G436" s="175"/>
      <c r="H436" s="615"/>
      <c r="I436" s="264"/>
      <c r="J436" s="264"/>
      <c r="K436" s="495"/>
      <c r="L436" s="495"/>
      <c r="M436" s="495"/>
      <c r="N436" s="495"/>
      <c r="O436" s="495"/>
      <c r="P436" s="495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8.75">
      <c r="A437" s="166"/>
      <c r="B437" s="167"/>
      <c r="C437" s="167"/>
      <c r="D437" s="445" t="s">
        <v>194</v>
      </c>
      <c r="E437" s="174"/>
      <c r="F437" s="174"/>
      <c r="G437" s="175"/>
      <c r="H437" s="615" t="s">
        <v>35</v>
      </c>
      <c r="I437" s="575">
        <f ca="1">IFERROR(__xludf.DUMMYFUNCTION("IMPORTRANGE(""https://docs.google.com/spreadsheets/d/1QqKyyYR6Q21VydFLVH3TRQUabQu_ym0Zz7PgGX0-kHA/edit?usp=sharing"",""แผน!FD73"")"),0)</f>
        <v>0</v>
      </c>
      <c r="J437" s="576">
        <v>0</v>
      </c>
      <c r="K437" s="495">
        <f t="shared" ref="K437:K443" ca="1" si="192">IF(I437&gt;0,J437*100/I437,0)</f>
        <v>0</v>
      </c>
      <c r="L437" s="495"/>
      <c r="M437" s="495"/>
      <c r="N437" s="495"/>
      <c r="O437" s="495"/>
      <c r="P437" s="495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8.75">
      <c r="A438" s="166"/>
      <c r="B438" s="167"/>
      <c r="C438" s="167"/>
      <c r="D438" s="445" t="s">
        <v>195</v>
      </c>
      <c r="E438" s="174"/>
      <c r="F438" s="174"/>
      <c r="G438" s="175"/>
      <c r="H438" s="615" t="s">
        <v>49</v>
      </c>
      <c r="I438" s="264">
        <f ca="1">IFERROR(__xludf.DUMMYFUNCTION("IMPORTRANGE(""https://docs.google.com/spreadsheets/d/1QqKyyYR6Q21VydFLVH3TRQUabQu_ym0Zz7PgGX0-kHA/edit?usp=sharing"",""แผน!FE73"")"),0)</f>
        <v>0</v>
      </c>
      <c r="J438" s="210">
        <v>0</v>
      </c>
      <c r="K438" s="495">
        <f t="shared" ca="1" si="192"/>
        <v>0</v>
      </c>
      <c r="L438" s="495"/>
      <c r="M438" s="495"/>
      <c r="N438" s="495"/>
      <c r="O438" s="495"/>
      <c r="P438" s="495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8.75">
      <c r="A439" s="166"/>
      <c r="B439" s="167"/>
      <c r="C439" s="167"/>
      <c r="D439" s="445" t="s">
        <v>196</v>
      </c>
      <c r="E439" s="174"/>
      <c r="F439" s="174"/>
      <c r="G439" s="175"/>
      <c r="H439" s="615" t="s">
        <v>35</v>
      </c>
      <c r="I439" s="575">
        <f ca="1">IFERROR(__xludf.DUMMYFUNCTION("IMPORTRANGE(""https://docs.google.com/spreadsheets/d/1QqKyyYR6Q21VydFLVH3TRQUabQu_ym0Zz7PgGX0-kHA/edit?usp=sharing"",""แผน!FF73"")"),10)</f>
        <v>10</v>
      </c>
      <c r="J439" s="576">
        <v>0</v>
      </c>
      <c r="K439" s="495">
        <f t="shared" ca="1" si="192"/>
        <v>0</v>
      </c>
      <c r="L439" s="495"/>
      <c r="M439" s="495"/>
      <c r="N439" s="495"/>
      <c r="O439" s="495"/>
      <c r="P439" s="495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8.75">
      <c r="A440" s="166"/>
      <c r="B440" s="167"/>
      <c r="C440" s="167"/>
      <c r="D440" s="445" t="s">
        <v>197</v>
      </c>
      <c r="E440" s="174"/>
      <c r="F440" s="174"/>
      <c r="G440" s="175"/>
      <c r="H440" s="615" t="s">
        <v>49</v>
      </c>
      <c r="I440" s="264">
        <f ca="1">IFERROR(__xludf.DUMMYFUNCTION("IMPORTRANGE(""https://docs.google.com/spreadsheets/d/1QqKyyYR6Q21VydFLVH3TRQUabQu_ym0Zz7PgGX0-kHA/edit?usp=sharing"",""แผน!FG73"")"),1)</f>
        <v>1</v>
      </c>
      <c r="J440" s="210">
        <v>0</v>
      </c>
      <c r="K440" s="495">
        <f t="shared" ca="1" si="192"/>
        <v>0</v>
      </c>
      <c r="L440" s="495"/>
      <c r="M440" s="495"/>
      <c r="N440" s="495"/>
      <c r="O440" s="495"/>
      <c r="P440" s="495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8.75">
      <c r="A441" s="166"/>
      <c r="B441" s="167"/>
      <c r="C441" s="167"/>
      <c r="D441" s="445" t="s">
        <v>198</v>
      </c>
      <c r="E441" s="174"/>
      <c r="F441" s="174"/>
      <c r="G441" s="175"/>
      <c r="H441" s="615" t="s">
        <v>35</v>
      </c>
      <c r="I441" s="264">
        <f ca="1">IFERROR(__xludf.DUMMYFUNCTION("IMPORTRANGE(""https://docs.google.com/spreadsheets/d/1QqKyyYR6Q21VydFLVH3TRQUabQu_ym0Zz7PgGX0-kHA/edit?usp=sharing"",""แผน!FH73"")"),0)</f>
        <v>0</v>
      </c>
      <c r="J441" s="264">
        <v>0</v>
      </c>
      <c r="K441" s="495">
        <f t="shared" ca="1" si="192"/>
        <v>0</v>
      </c>
      <c r="L441" s="495"/>
      <c r="M441" s="495"/>
      <c r="N441" s="495"/>
      <c r="O441" s="495"/>
      <c r="P441" s="495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9.5">
      <c r="A442" s="577">
        <v>2</v>
      </c>
      <c r="B442" s="578" t="s">
        <v>199</v>
      </c>
      <c r="C442" s="579"/>
      <c r="D442" s="579"/>
      <c r="E442" s="579"/>
      <c r="F442" s="579"/>
      <c r="G442" s="580"/>
      <c r="H442" s="581" t="s">
        <v>35</v>
      </c>
      <c r="I442" s="582">
        <f t="shared" ref="I442:J442" ca="1" si="193">I460</f>
        <v>15</v>
      </c>
      <c r="J442" s="582">
        <f t="shared" si="193"/>
        <v>0</v>
      </c>
      <c r="K442" s="583">
        <f t="shared" ca="1" si="192"/>
        <v>0</v>
      </c>
      <c r="L442" s="584"/>
      <c r="M442" s="584"/>
      <c r="N442" s="584"/>
      <c r="O442" s="584"/>
      <c r="P442" s="584"/>
      <c r="Q442" s="570"/>
      <c r="R442" s="570"/>
      <c r="S442" s="570"/>
      <c r="T442" s="570"/>
      <c r="U442" s="570"/>
      <c r="V442" s="570"/>
      <c r="W442" s="570"/>
      <c r="X442" s="570"/>
      <c r="Y442" s="570"/>
      <c r="Z442" s="570"/>
    </row>
    <row r="443" spans="1:26" ht="19.5">
      <c r="A443" s="585"/>
      <c r="B443" s="586"/>
      <c r="C443" s="587"/>
      <c r="D443" s="587"/>
      <c r="E443" s="587"/>
      <c r="F443" s="587"/>
      <c r="G443" s="588"/>
      <c r="H443" s="561" t="s">
        <v>46</v>
      </c>
      <c r="I443" s="562">
        <f t="shared" ref="I443:J443" ca="1" si="194">I462</f>
        <v>30</v>
      </c>
      <c r="J443" s="562">
        <f t="shared" si="194"/>
        <v>0</v>
      </c>
      <c r="K443" s="563">
        <f t="shared" ca="1" si="192"/>
        <v>0</v>
      </c>
      <c r="L443" s="564"/>
      <c r="M443" s="564"/>
      <c r="N443" s="564"/>
      <c r="O443" s="564"/>
      <c r="P443" s="564"/>
      <c r="Q443" s="570"/>
      <c r="R443" s="570"/>
      <c r="S443" s="570"/>
      <c r="T443" s="570"/>
      <c r="U443" s="570"/>
      <c r="V443" s="570"/>
      <c r="W443" s="570"/>
      <c r="X443" s="570"/>
      <c r="Y443" s="570"/>
      <c r="Z443" s="570"/>
    </row>
    <row r="444" spans="1:26" ht="19.5">
      <c r="A444" s="589"/>
      <c r="B444" s="753"/>
      <c r="C444" s="753" t="s">
        <v>16</v>
      </c>
      <c r="D444" s="845" t="s">
        <v>17</v>
      </c>
      <c r="E444" s="846"/>
      <c r="F444" s="846"/>
      <c r="G444" s="185"/>
      <c r="H444" s="590" t="s">
        <v>12</v>
      </c>
      <c r="I444" s="264"/>
      <c r="J444" s="264"/>
      <c r="K444" s="495"/>
      <c r="L444" s="191">
        <f t="shared" ref="L444:N444" ca="1" si="195">L445+L446</f>
        <v>86360</v>
      </c>
      <c r="M444" s="191">
        <f t="shared" si="195"/>
        <v>0</v>
      </c>
      <c r="N444" s="191">
        <f t="shared" si="195"/>
        <v>10290</v>
      </c>
      <c r="O444" s="191">
        <f t="shared" ref="O444:O449" ca="1" si="196">IF(L444&gt;0,N444*100/L444,0)</f>
        <v>11.915238536359425</v>
      </c>
      <c r="P444" s="191">
        <f t="shared" ref="P444:P449" si="197">IF(M444&gt;0,N444*100/M444,0)</f>
        <v>0</v>
      </c>
      <c r="Q444" s="570"/>
      <c r="R444" s="570"/>
      <c r="S444" s="570"/>
      <c r="T444" s="570"/>
      <c r="U444" s="570"/>
      <c r="V444" s="570"/>
      <c r="W444" s="570"/>
      <c r="X444" s="570"/>
      <c r="Y444" s="570"/>
      <c r="Z444" s="570"/>
    </row>
    <row r="445" spans="1:26" ht="18.75" hidden="1">
      <c r="A445" s="591"/>
      <c r="B445" s="749"/>
      <c r="C445" s="749"/>
      <c r="D445" s="710"/>
      <c r="E445" s="749" t="s">
        <v>184</v>
      </c>
      <c r="F445" s="749"/>
      <c r="G445" s="595"/>
      <c r="H445" s="161" t="s">
        <v>12</v>
      </c>
      <c r="I445" s="609"/>
      <c r="J445" s="609"/>
      <c r="K445" s="90"/>
      <c r="L445" s="90">
        <f t="shared" ref="L445:N446" si="198">L448+L455</f>
        <v>0</v>
      </c>
      <c r="M445" s="90">
        <f t="shared" si="198"/>
        <v>0</v>
      </c>
      <c r="N445" s="90">
        <f t="shared" si="198"/>
        <v>0</v>
      </c>
      <c r="O445" s="90">
        <f t="shared" si="196"/>
        <v>0</v>
      </c>
      <c r="P445" s="90">
        <f t="shared" si="197"/>
        <v>0</v>
      </c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</row>
    <row r="446" spans="1:26" ht="18.75" hidden="1">
      <c r="A446" s="591"/>
      <c r="B446" s="599"/>
      <c r="C446" s="749"/>
      <c r="D446" s="710"/>
      <c r="E446" s="749" t="s">
        <v>185</v>
      </c>
      <c r="F446" s="749"/>
      <c r="G446" s="595"/>
      <c r="H446" s="161" t="s">
        <v>12</v>
      </c>
      <c r="I446" s="609"/>
      <c r="J446" s="609"/>
      <c r="K446" s="90"/>
      <c r="L446" s="90">
        <f t="shared" ca="1" si="198"/>
        <v>86360</v>
      </c>
      <c r="M446" s="90">
        <f t="shared" si="198"/>
        <v>0</v>
      </c>
      <c r="N446" s="90">
        <f t="shared" si="198"/>
        <v>10290</v>
      </c>
      <c r="O446" s="90">
        <f t="shared" ca="1" si="196"/>
        <v>11.915238536359425</v>
      </c>
      <c r="P446" s="90">
        <f t="shared" si="197"/>
        <v>0</v>
      </c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</row>
    <row r="447" spans="1:26" ht="18.75">
      <c r="A447" s="589"/>
      <c r="B447" s="567"/>
      <c r="C447" s="753"/>
      <c r="D447" s="598" t="s">
        <v>20</v>
      </c>
      <c r="E447" s="753"/>
      <c r="F447" s="753"/>
      <c r="G447" s="185"/>
      <c r="H447" s="157" t="s">
        <v>12</v>
      </c>
      <c r="I447" s="180"/>
      <c r="J447" s="180"/>
      <c r="K447" s="159"/>
      <c r="L447" s="495">
        <f t="shared" ref="L447:N447" ca="1" si="199">L448+L449</f>
        <v>86360</v>
      </c>
      <c r="M447" s="495">
        <f t="shared" si="199"/>
        <v>0</v>
      </c>
      <c r="N447" s="495">
        <f t="shared" si="199"/>
        <v>10290</v>
      </c>
      <c r="O447" s="495">
        <f t="shared" ca="1" si="196"/>
        <v>11.915238536359425</v>
      </c>
      <c r="P447" s="495">
        <f t="shared" si="197"/>
        <v>0</v>
      </c>
      <c r="Q447" s="570"/>
      <c r="R447" s="570"/>
      <c r="S447" s="570"/>
      <c r="T447" s="570"/>
      <c r="U447" s="570"/>
      <c r="V447" s="570"/>
      <c r="W447" s="570"/>
      <c r="X447" s="570"/>
      <c r="Y447" s="570"/>
      <c r="Z447" s="570"/>
    </row>
    <row r="448" spans="1:26" ht="18.75" hidden="1">
      <c r="A448" s="591"/>
      <c r="B448" s="599"/>
      <c r="C448" s="749"/>
      <c r="D448" s="710"/>
      <c r="E448" s="749" t="s">
        <v>184</v>
      </c>
      <c r="F448" s="749"/>
      <c r="G448" s="595"/>
      <c r="H448" s="161" t="s">
        <v>12</v>
      </c>
      <c r="I448" s="609"/>
      <c r="J448" s="609"/>
      <c r="K448" s="90"/>
      <c r="L448" s="90">
        <v>0</v>
      </c>
      <c r="M448" s="90">
        <v>0</v>
      </c>
      <c r="N448" s="90">
        <v>0</v>
      </c>
      <c r="O448" s="90">
        <f t="shared" si="196"/>
        <v>0</v>
      </c>
      <c r="P448" s="90">
        <f t="shared" si="197"/>
        <v>0</v>
      </c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</row>
    <row r="449" spans="1:26" ht="18.75" hidden="1">
      <c r="A449" s="591"/>
      <c r="B449" s="599"/>
      <c r="C449" s="749"/>
      <c r="D449" s="710"/>
      <c r="E449" s="749" t="s">
        <v>185</v>
      </c>
      <c r="F449" s="749"/>
      <c r="G449" s="595"/>
      <c r="H449" s="161" t="s">
        <v>12</v>
      </c>
      <c r="I449" s="609"/>
      <c r="J449" s="609"/>
      <c r="K449" s="90"/>
      <c r="L449" s="90">
        <f ca="1">IFERROR(__xludf.DUMMYFUNCTION("IMPORTRANGE(""https://docs.google.com/spreadsheets/d/1QqKyyYR6Q21VydFLVH3TRQUabQu_ym0Zz7PgGX0-kHA/edit?usp=sharing"",""แผน!FJ73"")"),86360)</f>
        <v>86360</v>
      </c>
      <c r="M449" s="90">
        <v>0</v>
      </c>
      <c r="N449" s="90">
        <f>N450+N451+N452+N453</f>
        <v>10290</v>
      </c>
      <c r="O449" s="90">
        <f t="shared" ca="1" si="196"/>
        <v>11.915238536359425</v>
      </c>
      <c r="P449" s="90">
        <f t="shared" si="197"/>
        <v>0</v>
      </c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</row>
    <row r="450" spans="1:26" ht="18.75">
      <c r="A450" s="566"/>
      <c r="B450" s="567"/>
      <c r="C450" s="753"/>
      <c r="D450" s="753"/>
      <c r="E450" s="753"/>
      <c r="F450" s="753" t="s">
        <v>186</v>
      </c>
      <c r="G450" s="185"/>
      <c r="H450" s="157" t="s">
        <v>12</v>
      </c>
      <c r="I450" s="264"/>
      <c r="J450" s="264"/>
      <c r="K450" s="495"/>
      <c r="L450" s="495"/>
      <c r="M450" s="495"/>
      <c r="N450" s="816">
        <v>10290</v>
      </c>
      <c r="O450" s="495"/>
      <c r="P450" s="495"/>
      <c r="Q450" s="570"/>
      <c r="R450" s="570"/>
      <c r="S450" s="570"/>
      <c r="T450" s="570"/>
      <c r="U450" s="570"/>
      <c r="V450" s="570"/>
      <c r="W450" s="570"/>
      <c r="X450" s="570"/>
      <c r="Y450" s="570"/>
      <c r="Z450" s="570"/>
    </row>
    <row r="451" spans="1:26" ht="18.75">
      <c r="A451" s="566"/>
      <c r="B451" s="567"/>
      <c r="C451" s="753"/>
      <c r="D451" s="753"/>
      <c r="E451" s="753"/>
      <c r="F451" s="753" t="s">
        <v>187</v>
      </c>
      <c r="G451" s="185"/>
      <c r="H451" s="157" t="s">
        <v>12</v>
      </c>
      <c r="I451" s="264"/>
      <c r="J451" s="264"/>
      <c r="K451" s="495"/>
      <c r="L451" s="495"/>
      <c r="M451" s="495"/>
      <c r="N451" s="816">
        <v>0</v>
      </c>
      <c r="O451" s="495"/>
      <c r="P451" s="495"/>
      <c r="Q451" s="570"/>
      <c r="R451" s="570"/>
      <c r="S451" s="570"/>
      <c r="T451" s="570"/>
      <c r="U451" s="570"/>
      <c r="V451" s="570"/>
      <c r="W451" s="570"/>
      <c r="X451" s="570"/>
      <c r="Y451" s="570"/>
      <c r="Z451" s="570"/>
    </row>
    <row r="452" spans="1:26" ht="18.75">
      <c r="A452" s="566"/>
      <c r="B452" s="567"/>
      <c r="C452" s="567"/>
      <c r="D452" s="567"/>
      <c r="E452" s="567"/>
      <c r="F452" s="753" t="s">
        <v>188</v>
      </c>
      <c r="G452" s="185"/>
      <c r="H452" s="157" t="s">
        <v>12</v>
      </c>
      <c r="I452" s="264"/>
      <c r="J452" s="264"/>
      <c r="K452" s="495"/>
      <c r="L452" s="495"/>
      <c r="M452" s="495"/>
      <c r="N452" s="816">
        <v>0</v>
      </c>
      <c r="O452" s="495"/>
      <c r="P452" s="495"/>
      <c r="Q452" s="570"/>
      <c r="R452" s="570"/>
      <c r="S452" s="570"/>
      <c r="T452" s="570"/>
      <c r="U452" s="570"/>
      <c r="V452" s="570"/>
      <c r="W452" s="570"/>
      <c r="X452" s="570"/>
      <c r="Y452" s="570"/>
      <c r="Z452" s="570"/>
    </row>
    <row r="453" spans="1:26" ht="18.75">
      <c r="A453" s="566"/>
      <c r="B453" s="567"/>
      <c r="C453" s="567"/>
      <c r="D453" s="567"/>
      <c r="E453" s="567"/>
      <c r="F453" s="753" t="s">
        <v>189</v>
      </c>
      <c r="G453" s="185"/>
      <c r="H453" s="157" t="s">
        <v>12</v>
      </c>
      <c r="I453" s="264"/>
      <c r="J453" s="264"/>
      <c r="K453" s="495"/>
      <c r="L453" s="495"/>
      <c r="M453" s="495"/>
      <c r="N453" s="816">
        <v>0</v>
      </c>
      <c r="O453" s="495"/>
      <c r="P453" s="495"/>
      <c r="Q453" s="570"/>
      <c r="R453" s="570"/>
      <c r="S453" s="570"/>
      <c r="T453" s="570"/>
      <c r="U453" s="570"/>
      <c r="V453" s="570"/>
      <c r="W453" s="570"/>
      <c r="X453" s="570"/>
      <c r="Y453" s="570"/>
      <c r="Z453" s="570"/>
    </row>
    <row r="454" spans="1:26" ht="18.75">
      <c r="A454" s="589"/>
      <c r="B454" s="567"/>
      <c r="C454" s="567"/>
      <c r="D454" s="598" t="s">
        <v>21</v>
      </c>
      <c r="E454" s="567"/>
      <c r="F454" s="753"/>
      <c r="G454" s="185"/>
      <c r="H454" s="164" t="s">
        <v>12</v>
      </c>
      <c r="I454" s="180"/>
      <c r="J454" s="180"/>
      <c r="K454" s="159"/>
      <c r="L454" s="495">
        <f t="shared" ref="L454:N454" ca="1" si="200">L455+L456</f>
        <v>0</v>
      </c>
      <c r="M454" s="495">
        <f t="shared" si="200"/>
        <v>0</v>
      </c>
      <c r="N454" s="495">
        <f t="shared" si="200"/>
        <v>0</v>
      </c>
      <c r="O454" s="495">
        <f t="shared" ref="O454:O456" ca="1" si="201">IF(L454&gt;0,N454*100/L454,0)</f>
        <v>0</v>
      </c>
      <c r="P454" s="495">
        <f t="shared" ref="P454:P456" si="202">IF(M454&gt;0,N454*100/M454,0)</f>
        <v>0</v>
      </c>
      <c r="Q454" s="570"/>
      <c r="R454" s="570"/>
      <c r="S454" s="570"/>
      <c r="T454" s="570"/>
      <c r="U454" s="570"/>
      <c r="V454" s="570"/>
      <c r="W454" s="570"/>
      <c r="X454" s="570"/>
      <c r="Y454" s="570"/>
      <c r="Z454" s="570"/>
    </row>
    <row r="455" spans="1:26" ht="18.75" hidden="1">
      <c r="A455" s="591"/>
      <c r="B455" s="599"/>
      <c r="C455" s="599"/>
      <c r="D455" s="599"/>
      <c r="E455" s="599" t="s">
        <v>18</v>
      </c>
      <c r="F455" s="749"/>
      <c r="G455" s="595"/>
      <c r="H455" s="161" t="s">
        <v>12</v>
      </c>
      <c r="I455" s="162"/>
      <c r="J455" s="162"/>
      <c r="K455" s="163"/>
      <c r="L455" s="90">
        <v>0</v>
      </c>
      <c r="M455" s="90">
        <v>0</v>
      </c>
      <c r="N455" s="90">
        <v>0</v>
      </c>
      <c r="O455" s="90">
        <f t="shared" si="201"/>
        <v>0</v>
      </c>
      <c r="P455" s="90">
        <f t="shared" si="202"/>
        <v>0</v>
      </c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</row>
    <row r="456" spans="1:26" ht="18.75" hidden="1">
      <c r="A456" s="591"/>
      <c r="B456" s="599"/>
      <c r="C456" s="599"/>
      <c r="D456" s="599"/>
      <c r="E456" s="599" t="s">
        <v>19</v>
      </c>
      <c r="F456" s="749"/>
      <c r="G456" s="595"/>
      <c r="H456" s="165" t="s">
        <v>12</v>
      </c>
      <c r="I456" s="162"/>
      <c r="J456" s="162"/>
      <c r="K456" s="163"/>
      <c r="L456" s="90">
        <f ca="1">IFERROR(__xludf.DUMMYFUNCTION("IMPORTRANGE(""https://docs.google.com/spreadsheets/d/1QqKyyYR6Q21VydFLVH3TRQUabQu_ym0Zz7PgGX0-kHA/edit?usp=sharing"",""แผน!FM73"")"),0)</f>
        <v>0</v>
      </c>
      <c r="M456" s="90">
        <v>0</v>
      </c>
      <c r="N456" s="90">
        <v>0</v>
      </c>
      <c r="O456" s="90">
        <f t="shared" ca="1" si="201"/>
        <v>0</v>
      </c>
      <c r="P456" s="90">
        <f t="shared" si="202"/>
        <v>0</v>
      </c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</row>
    <row r="457" spans="1:26" ht="19.5">
      <c r="A457" s="600"/>
      <c r="B457" s="610"/>
      <c r="C457" s="567" t="s">
        <v>16</v>
      </c>
      <c r="D457" s="838" t="s">
        <v>38</v>
      </c>
      <c r="E457" s="603"/>
      <c r="F457" s="751"/>
      <c r="G457" s="605"/>
      <c r="H457" s="752"/>
      <c r="I457" s="264"/>
      <c r="J457" s="264"/>
      <c r="K457" s="495"/>
      <c r="L457" s="495"/>
      <c r="M457" s="495"/>
      <c r="N457" s="495"/>
      <c r="O457" s="495"/>
      <c r="P457" s="495"/>
      <c r="Q457" s="570"/>
      <c r="R457" s="570"/>
      <c r="S457" s="570"/>
      <c r="T457" s="570"/>
      <c r="U457" s="570"/>
      <c r="V457" s="570"/>
      <c r="W457" s="570"/>
      <c r="X457" s="570"/>
      <c r="Y457" s="570"/>
      <c r="Z457" s="570"/>
    </row>
    <row r="458" spans="1:26" ht="18.75" hidden="1">
      <c r="A458" s="606"/>
      <c r="B458" s="608"/>
      <c r="C458" s="608"/>
      <c r="D458" s="608" t="s">
        <v>200</v>
      </c>
      <c r="E458" s="608"/>
      <c r="F458" s="710"/>
      <c r="G458" s="361"/>
      <c r="H458" s="365" t="s">
        <v>35</v>
      </c>
      <c r="I458" s="609">
        <v>0</v>
      </c>
      <c r="J458" s="609">
        <v>0</v>
      </c>
      <c r="K458" s="90">
        <f>IF(I458&gt;0,J458*100/I458,0)</f>
        <v>0</v>
      </c>
      <c r="L458" s="90"/>
      <c r="M458" s="90"/>
      <c r="N458" s="90"/>
      <c r="O458" s="90"/>
      <c r="P458" s="90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</row>
    <row r="459" spans="1:26" ht="18.75" hidden="1">
      <c r="A459" s="606"/>
      <c r="B459" s="608"/>
      <c r="C459" s="608"/>
      <c r="D459" s="608" t="s">
        <v>201</v>
      </c>
      <c r="E459" s="608"/>
      <c r="F459" s="710"/>
      <c r="G459" s="361"/>
      <c r="H459" s="365"/>
      <c r="I459" s="609"/>
      <c r="J459" s="609"/>
      <c r="K459" s="90"/>
      <c r="L459" s="90"/>
      <c r="M459" s="90"/>
      <c r="N459" s="90"/>
      <c r="O459" s="90"/>
      <c r="P459" s="90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</row>
    <row r="460" spans="1:26" ht="18.75">
      <c r="A460" s="600"/>
      <c r="B460" s="610"/>
      <c r="C460" s="610"/>
      <c r="D460" s="610" t="s">
        <v>202</v>
      </c>
      <c r="E460" s="610"/>
      <c r="F460" s="618"/>
      <c r="G460" s="752"/>
      <c r="H460" s="754" t="s">
        <v>35</v>
      </c>
      <c r="I460" s="264">
        <f ca="1">IFERROR(__xludf.DUMMYFUNCTION("IMPORTRANGE(""https://docs.google.com/spreadsheets/d/1QqKyyYR6Q21VydFLVH3TRQUabQu_ym0Zz7PgGX0-kHA/edit?usp=sharing"",""แผน!FN73"")"),15)</f>
        <v>15</v>
      </c>
      <c r="J460" s="210">
        <v>0</v>
      </c>
      <c r="K460" s="495">
        <f ca="1">IF(I460&gt;0,J460*100/I460,0)</f>
        <v>0</v>
      </c>
      <c r="L460" s="495"/>
      <c r="M460" s="495"/>
      <c r="N460" s="495"/>
      <c r="O460" s="495"/>
      <c r="P460" s="495"/>
      <c r="Q460" s="570"/>
      <c r="R460" s="570"/>
      <c r="S460" s="570"/>
      <c r="T460" s="570"/>
      <c r="U460" s="570"/>
      <c r="V460" s="570"/>
      <c r="W460" s="570"/>
      <c r="X460" s="570"/>
      <c r="Y460" s="570"/>
      <c r="Z460" s="570"/>
    </row>
    <row r="461" spans="1:26" ht="18.75">
      <c r="A461" s="600"/>
      <c r="B461" s="610"/>
      <c r="C461" s="610"/>
      <c r="D461" s="610" t="s">
        <v>203</v>
      </c>
      <c r="E461" s="618"/>
      <c r="F461" s="618"/>
      <c r="G461" s="752"/>
      <c r="H461" s="754"/>
      <c r="I461" s="264"/>
      <c r="J461" s="264"/>
      <c r="K461" s="495"/>
      <c r="L461" s="495"/>
      <c r="M461" s="495"/>
      <c r="N461" s="495"/>
      <c r="O461" s="495"/>
      <c r="P461" s="495"/>
      <c r="Q461" s="570"/>
      <c r="R461" s="570"/>
      <c r="S461" s="570"/>
      <c r="T461" s="570"/>
      <c r="U461" s="570"/>
      <c r="V461" s="570"/>
      <c r="W461" s="570"/>
      <c r="X461" s="570"/>
      <c r="Y461" s="570"/>
      <c r="Z461" s="570"/>
    </row>
    <row r="462" spans="1:26" ht="18.75">
      <c r="A462" s="600"/>
      <c r="B462" s="610"/>
      <c r="C462" s="610"/>
      <c r="D462" s="610" t="s">
        <v>204</v>
      </c>
      <c r="E462" s="618"/>
      <c r="F462" s="618"/>
      <c r="G462" s="752"/>
      <c r="H462" s="754" t="s">
        <v>46</v>
      </c>
      <c r="I462" s="264">
        <f ca="1">IFERROR(__xludf.DUMMYFUNCTION("IMPORTRANGE(""https://docs.google.com/spreadsheets/d/1QqKyyYR6Q21VydFLVH3TRQUabQu_ym0Zz7PgGX0-kHA/edit?usp=sharing"",""แผน!FO73"")"),30)</f>
        <v>30</v>
      </c>
      <c r="J462" s="210">
        <v>0</v>
      </c>
      <c r="K462" s="495">
        <f ca="1">IF(I462&gt;0,J462*100/I462,0)</f>
        <v>0</v>
      </c>
      <c r="L462" s="495"/>
      <c r="M462" s="495"/>
      <c r="N462" s="495"/>
      <c r="O462" s="495"/>
      <c r="P462" s="495"/>
      <c r="Q462" s="570"/>
      <c r="R462" s="570"/>
      <c r="S462" s="570"/>
      <c r="T462" s="570"/>
      <c r="U462" s="570"/>
      <c r="V462" s="570"/>
      <c r="W462" s="570"/>
      <c r="X462" s="570"/>
      <c r="Y462" s="570"/>
      <c r="Z462" s="570"/>
    </row>
    <row r="463" spans="1:26" ht="18.75">
      <c r="A463" s="600"/>
      <c r="B463" s="610"/>
      <c r="C463" s="610"/>
      <c r="D463" s="610" t="s">
        <v>59</v>
      </c>
      <c r="E463" s="618"/>
      <c r="F463" s="753"/>
      <c r="G463" s="185"/>
      <c r="H463" s="754" t="s">
        <v>46</v>
      </c>
      <c r="I463" s="264">
        <f ca="1">IFERROR(__xludf.DUMMYFUNCTION("IMPORTRANGE(""https://docs.google.com/spreadsheets/d/1QqKyyYR6Q21VydFLVH3TRQUabQu_ym0Zz7PgGX0-kHA/edit?usp=sharing"",""แผน!FO73"")"),30)</f>
        <v>30</v>
      </c>
      <c r="J463" s="210">
        <v>0</v>
      </c>
      <c r="K463" s="495"/>
      <c r="L463" s="495"/>
      <c r="M463" s="495"/>
      <c r="N463" s="495"/>
      <c r="O463" s="495"/>
      <c r="P463" s="495"/>
      <c r="Q463" s="570"/>
      <c r="R463" s="570"/>
      <c r="S463" s="570"/>
      <c r="T463" s="570"/>
      <c r="U463" s="570"/>
      <c r="V463" s="570"/>
      <c r="W463" s="570"/>
      <c r="X463" s="570"/>
      <c r="Y463" s="570"/>
      <c r="Z463" s="570"/>
    </row>
    <row r="464" spans="1:26" ht="19.5">
      <c r="A464" s="600"/>
      <c r="B464" s="610"/>
      <c r="C464" s="610"/>
      <c r="D464" s="610"/>
      <c r="E464" s="618"/>
      <c r="F464" s="618"/>
      <c r="G464" s="612"/>
      <c r="H464" s="754" t="s">
        <v>35</v>
      </c>
      <c r="I464" s="264">
        <f ca="1">IFERROR(__xludf.DUMMYFUNCTION("IMPORTRANGE(""https://docs.google.com/spreadsheets/d/1QqKyyYR6Q21VydFLVH3TRQUabQu_ym0Zz7PgGX0-kHA/edit?usp=sharing"",""แผน!FN73"")"),15)</f>
        <v>15</v>
      </c>
      <c r="J464" s="210">
        <v>0</v>
      </c>
      <c r="K464" s="495"/>
      <c r="L464" s="495"/>
      <c r="M464" s="495"/>
      <c r="N464" s="495"/>
      <c r="O464" s="495"/>
      <c r="P464" s="495"/>
      <c r="Q464" s="570"/>
      <c r="R464" s="570"/>
      <c r="S464" s="570"/>
      <c r="T464" s="570"/>
      <c r="U464" s="570"/>
      <c r="V464" s="570"/>
      <c r="W464" s="570"/>
      <c r="X464" s="570"/>
      <c r="Y464" s="570"/>
      <c r="Z464" s="570"/>
    </row>
    <row r="465" spans="1:26" ht="19.5" hidden="1">
      <c r="A465" s="577">
        <v>3</v>
      </c>
      <c r="B465" s="578" t="s">
        <v>205</v>
      </c>
      <c r="C465" s="579"/>
      <c r="D465" s="579"/>
      <c r="E465" s="579"/>
      <c r="F465" s="579"/>
      <c r="G465" s="580"/>
      <c r="H465" s="581" t="s">
        <v>35</v>
      </c>
      <c r="I465" s="582">
        <f ca="1">IFERROR(__xludf.DUMMYFUNCTION("IMPORTRANGE(""https://docs.google.com/spreadsheets/d/1QqKyyYR6Q21VydFLVH3TRQUabQu_ym0Zz7PgGX0-kHA/edit?usp=sharing"",""แผน!FX73"")"),0)</f>
        <v>0</v>
      </c>
      <c r="J465" s="582">
        <f>J485+J489+J492</f>
        <v>0</v>
      </c>
      <c r="K465" s="583">
        <f t="shared" ref="K465:K466" ca="1" si="203">IF(I465&gt;0,J465*100/I465,0)</f>
        <v>0</v>
      </c>
      <c r="L465" s="584"/>
      <c r="M465" s="584"/>
      <c r="N465" s="584"/>
      <c r="O465" s="584"/>
      <c r="P465" s="584"/>
      <c r="Q465" s="570"/>
      <c r="R465" s="570"/>
      <c r="S465" s="570"/>
      <c r="T465" s="570"/>
      <c r="U465" s="570"/>
      <c r="V465" s="570"/>
      <c r="W465" s="570"/>
      <c r="X465" s="570"/>
      <c r="Y465" s="570"/>
      <c r="Z465" s="570"/>
    </row>
    <row r="466" spans="1:26" ht="19.5" hidden="1">
      <c r="A466" s="585"/>
      <c r="B466" s="586"/>
      <c r="C466" s="587"/>
      <c r="D466" s="587"/>
      <c r="E466" s="587"/>
      <c r="F466" s="587"/>
      <c r="G466" s="588"/>
      <c r="H466" s="561" t="s">
        <v>46</v>
      </c>
      <c r="I466" s="562">
        <f ca="1">IFERROR(__xludf.DUMMYFUNCTION("IMPORTRANGE(""https://docs.google.com/spreadsheets/d/1QqKyyYR6Q21VydFLVH3TRQUabQu_ym0Zz7PgGX0-kHA/edit?usp=sharing"",""แผน!FW73"")"),0)</f>
        <v>0</v>
      </c>
      <c r="J466" s="562">
        <f>J483+J487</f>
        <v>0</v>
      </c>
      <c r="K466" s="563">
        <f t="shared" ca="1" si="203"/>
        <v>0</v>
      </c>
      <c r="L466" s="564"/>
      <c r="M466" s="564"/>
      <c r="N466" s="564"/>
      <c r="O466" s="564"/>
      <c r="P466" s="564"/>
      <c r="Q466" s="570"/>
      <c r="R466" s="570"/>
      <c r="S466" s="570"/>
      <c r="T466" s="570"/>
      <c r="U466" s="570"/>
      <c r="V466" s="570"/>
      <c r="W466" s="570"/>
      <c r="X466" s="570"/>
      <c r="Y466" s="570"/>
      <c r="Z466" s="570"/>
    </row>
    <row r="467" spans="1:26" ht="19.5" hidden="1">
      <c r="A467" s="589"/>
      <c r="B467" s="753"/>
      <c r="C467" s="753" t="s">
        <v>16</v>
      </c>
      <c r="D467" s="845" t="s">
        <v>17</v>
      </c>
      <c r="E467" s="846"/>
      <c r="F467" s="846"/>
      <c r="G467" s="185"/>
      <c r="H467" s="590" t="s">
        <v>12</v>
      </c>
      <c r="I467" s="264"/>
      <c r="J467" s="264"/>
      <c r="K467" s="495"/>
      <c r="L467" s="191">
        <f t="shared" ref="L467:N467" ca="1" si="204">L468+L469</f>
        <v>0</v>
      </c>
      <c r="M467" s="191">
        <f t="shared" si="204"/>
        <v>0</v>
      </c>
      <c r="N467" s="191">
        <f t="shared" si="204"/>
        <v>0</v>
      </c>
      <c r="O467" s="191">
        <f t="shared" ref="O467:O472" ca="1" si="205">IF(L467&gt;0,N467*100/L467,0)</f>
        <v>0</v>
      </c>
      <c r="P467" s="191">
        <f t="shared" ref="P467:P472" si="206">IF(M467&gt;0,N467*100/M467,0)</f>
        <v>0</v>
      </c>
      <c r="Q467" s="570"/>
      <c r="R467" s="570"/>
      <c r="S467" s="570"/>
      <c r="T467" s="570"/>
      <c r="U467" s="570"/>
      <c r="V467" s="570"/>
      <c r="W467" s="570"/>
      <c r="X467" s="570"/>
      <c r="Y467" s="570"/>
      <c r="Z467" s="570"/>
    </row>
    <row r="468" spans="1:26" ht="18.75" hidden="1">
      <c r="A468" s="591"/>
      <c r="B468" s="749"/>
      <c r="C468" s="749"/>
      <c r="D468" s="710"/>
      <c r="E468" s="749" t="s">
        <v>184</v>
      </c>
      <c r="F468" s="749"/>
      <c r="G468" s="595"/>
      <c r="H468" s="161" t="s">
        <v>12</v>
      </c>
      <c r="I468" s="609"/>
      <c r="J468" s="609"/>
      <c r="K468" s="90"/>
      <c r="L468" s="90">
        <f t="shared" ref="L468:N469" si="207">L471+L478</f>
        <v>0</v>
      </c>
      <c r="M468" s="90">
        <f t="shared" si="207"/>
        <v>0</v>
      </c>
      <c r="N468" s="90">
        <f t="shared" si="207"/>
        <v>0</v>
      </c>
      <c r="O468" s="90">
        <f t="shared" si="205"/>
        <v>0</v>
      </c>
      <c r="P468" s="90">
        <f t="shared" si="206"/>
        <v>0</v>
      </c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</row>
    <row r="469" spans="1:26" ht="18.75" hidden="1">
      <c r="A469" s="591"/>
      <c r="B469" s="599"/>
      <c r="C469" s="749"/>
      <c r="D469" s="710"/>
      <c r="E469" s="749" t="s">
        <v>185</v>
      </c>
      <c r="F469" s="749"/>
      <c r="G469" s="595"/>
      <c r="H469" s="161" t="s">
        <v>12</v>
      </c>
      <c r="I469" s="609"/>
      <c r="J469" s="609"/>
      <c r="K469" s="90"/>
      <c r="L469" s="90">
        <f t="shared" ca="1" si="207"/>
        <v>0</v>
      </c>
      <c r="M469" s="90">
        <f t="shared" si="207"/>
        <v>0</v>
      </c>
      <c r="N469" s="90">
        <f t="shared" si="207"/>
        <v>0</v>
      </c>
      <c r="O469" s="90">
        <f t="shared" ca="1" si="205"/>
        <v>0</v>
      </c>
      <c r="P469" s="90">
        <f t="shared" si="206"/>
        <v>0</v>
      </c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</row>
    <row r="470" spans="1:26" ht="18.75" hidden="1">
      <c r="A470" s="589"/>
      <c r="B470" s="567"/>
      <c r="C470" s="753"/>
      <c r="D470" s="598" t="s">
        <v>20</v>
      </c>
      <c r="E470" s="753"/>
      <c r="F470" s="753"/>
      <c r="G470" s="185"/>
      <c r="H470" s="157" t="s">
        <v>12</v>
      </c>
      <c r="I470" s="180"/>
      <c r="J470" s="180"/>
      <c r="K470" s="159"/>
      <c r="L470" s="495">
        <f t="shared" ref="L470:N470" ca="1" si="208">L471+L472</f>
        <v>0</v>
      </c>
      <c r="M470" s="495">
        <f t="shared" si="208"/>
        <v>0</v>
      </c>
      <c r="N470" s="495">
        <f t="shared" si="208"/>
        <v>0</v>
      </c>
      <c r="O470" s="495">
        <f t="shared" ca="1" si="205"/>
        <v>0</v>
      </c>
      <c r="P470" s="495">
        <f t="shared" si="206"/>
        <v>0</v>
      </c>
      <c r="Q470" s="570"/>
      <c r="R470" s="570"/>
      <c r="S470" s="570"/>
      <c r="T470" s="570"/>
      <c r="U470" s="570"/>
      <c r="V470" s="570"/>
      <c r="W470" s="570"/>
      <c r="X470" s="570"/>
      <c r="Y470" s="570"/>
      <c r="Z470" s="570"/>
    </row>
    <row r="471" spans="1:26" ht="18.75" hidden="1">
      <c r="A471" s="591"/>
      <c r="B471" s="599"/>
      <c r="C471" s="749"/>
      <c r="D471" s="710"/>
      <c r="E471" s="749" t="s">
        <v>184</v>
      </c>
      <c r="F471" s="749"/>
      <c r="G471" s="595"/>
      <c r="H471" s="161" t="s">
        <v>12</v>
      </c>
      <c r="I471" s="609"/>
      <c r="J471" s="609"/>
      <c r="K471" s="90"/>
      <c r="L471" s="90">
        <v>0</v>
      </c>
      <c r="M471" s="90">
        <v>0</v>
      </c>
      <c r="N471" s="90">
        <v>0</v>
      </c>
      <c r="O471" s="90">
        <f t="shared" si="205"/>
        <v>0</v>
      </c>
      <c r="P471" s="90">
        <f t="shared" si="206"/>
        <v>0</v>
      </c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</row>
    <row r="472" spans="1:26" ht="18.75" hidden="1">
      <c r="A472" s="591"/>
      <c r="B472" s="599"/>
      <c r="C472" s="749"/>
      <c r="D472" s="710"/>
      <c r="E472" s="749" t="s">
        <v>185</v>
      </c>
      <c r="F472" s="749"/>
      <c r="G472" s="595"/>
      <c r="H472" s="161" t="s">
        <v>12</v>
      </c>
      <c r="I472" s="609"/>
      <c r="J472" s="609"/>
      <c r="K472" s="90"/>
      <c r="L472" s="90">
        <f ca="1">IFERROR(__xludf.DUMMYFUNCTION("IMPORTRANGE(""https://docs.google.com/spreadsheets/d/1QqKyyYR6Q21VydFLVH3TRQUabQu_ym0Zz7PgGX0-kHA/edit?usp=sharing"",""แผน!FS73"")"),0)</f>
        <v>0</v>
      </c>
      <c r="M472" s="90">
        <v>0</v>
      </c>
      <c r="N472" s="90">
        <f>N473+N474+N475+N476</f>
        <v>0</v>
      </c>
      <c r="O472" s="90">
        <f t="shared" ca="1" si="205"/>
        <v>0</v>
      </c>
      <c r="P472" s="90">
        <f t="shared" si="206"/>
        <v>0</v>
      </c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</row>
    <row r="473" spans="1:26" ht="18.75" hidden="1">
      <c r="A473" s="566"/>
      <c r="B473" s="567"/>
      <c r="C473" s="753"/>
      <c r="D473" s="753"/>
      <c r="E473" s="753"/>
      <c r="F473" s="753" t="s">
        <v>186</v>
      </c>
      <c r="G473" s="185"/>
      <c r="H473" s="157" t="s">
        <v>12</v>
      </c>
      <c r="I473" s="264"/>
      <c r="J473" s="264"/>
      <c r="K473" s="495"/>
      <c r="L473" s="495"/>
      <c r="M473" s="495"/>
      <c r="N473" s="816">
        <v>0</v>
      </c>
      <c r="O473" s="495"/>
      <c r="P473" s="495"/>
      <c r="Q473" s="570"/>
      <c r="R473" s="570"/>
      <c r="S473" s="570"/>
      <c r="T473" s="570"/>
      <c r="U473" s="570"/>
      <c r="V473" s="570"/>
      <c r="W473" s="570"/>
      <c r="X473" s="570"/>
      <c r="Y473" s="570"/>
      <c r="Z473" s="570"/>
    </row>
    <row r="474" spans="1:26" ht="18.75" hidden="1">
      <c r="A474" s="566"/>
      <c r="B474" s="567"/>
      <c r="C474" s="753"/>
      <c r="D474" s="753"/>
      <c r="E474" s="753"/>
      <c r="F474" s="753" t="s">
        <v>187</v>
      </c>
      <c r="G474" s="185"/>
      <c r="H474" s="157" t="s">
        <v>12</v>
      </c>
      <c r="I474" s="264"/>
      <c r="J474" s="264"/>
      <c r="K474" s="495"/>
      <c r="L474" s="495"/>
      <c r="M474" s="495"/>
      <c r="N474" s="816">
        <v>0</v>
      </c>
      <c r="O474" s="495"/>
      <c r="P474" s="495"/>
      <c r="Q474" s="570"/>
      <c r="R474" s="570"/>
      <c r="S474" s="570"/>
      <c r="T474" s="570"/>
      <c r="U474" s="570"/>
      <c r="V474" s="570"/>
      <c r="W474" s="570"/>
      <c r="X474" s="570"/>
      <c r="Y474" s="570"/>
      <c r="Z474" s="570"/>
    </row>
    <row r="475" spans="1:26" ht="18.75" hidden="1">
      <c r="A475" s="566"/>
      <c r="B475" s="567"/>
      <c r="C475" s="567"/>
      <c r="D475" s="567"/>
      <c r="E475" s="567"/>
      <c r="F475" s="753" t="s">
        <v>188</v>
      </c>
      <c r="G475" s="185"/>
      <c r="H475" s="157" t="s">
        <v>12</v>
      </c>
      <c r="I475" s="264"/>
      <c r="J475" s="264"/>
      <c r="K475" s="495"/>
      <c r="L475" s="495"/>
      <c r="M475" s="495"/>
      <c r="N475" s="816">
        <v>0</v>
      </c>
      <c r="O475" s="495"/>
      <c r="P475" s="495"/>
      <c r="Q475" s="570"/>
      <c r="R475" s="570"/>
      <c r="S475" s="570"/>
      <c r="T475" s="570"/>
      <c r="U475" s="570"/>
      <c r="V475" s="570"/>
      <c r="W475" s="570"/>
      <c r="X475" s="570"/>
      <c r="Y475" s="570"/>
      <c r="Z475" s="570"/>
    </row>
    <row r="476" spans="1:26" ht="18.75" hidden="1">
      <c r="A476" s="566"/>
      <c r="B476" s="567"/>
      <c r="C476" s="567"/>
      <c r="D476" s="567"/>
      <c r="E476" s="567"/>
      <c r="F476" s="753" t="s">
        <v>189</v>
      </c>
      <c r="G476" s="185"/>
      <c r="H476" s="157" t="s">
        <v>12</v>
      </c>
      <c r="I476" s="264"/>
      <c r="J476" s="264"/>
      <c r="K476" s="495"/>
      <c r="L476" s="495"/>
      <c r="M476" s="495"/>
      <c r="N476" s="816">
        <v>0</v>
      </c>
      <c r="O476" s="495"/>
      <c r="P476" s="495"/>
      <c r="Q476" s="570"/>
      <c r="R476" s="570"/>
      <c r="S476" s="570"/>
      <c r="T476" s="570"/>
      <c r="U476" s="570"/>
      <c r="V476" s="570"/>
      <c r="W476" s="570"/>
      <c r="X476" s="570"/>
      <c r="Y476" s="570"/>
      <c r="Z476" s="570"/>
    </row>
    <row r="477" spans="1:26" ht="18.75" hidden="1">
      <c r="A477" s="589"/>
      <c r="B477" s="567"/>
      <c r="C477" s="567"/>
      <c r="D477" s="598" t="s">
        <v>21</v>
      </c>
      <c r="E477" s="567"/>
      <c r="F477" s="567"/>
      <c r="G477" s="185"/>
      <c r="H477" s="164" t="s">
        <v>12</v>
      </c>
      <c r="I477" s="180"/>
      <c r="J477" s="180"/>
      <c r="K477" s="159"/>
      <c r="L477" s="495">
        <f t="shared" ref="L477:N477" ca="1" si="209">L478+L479</f>
        <v>0</v>
      </c>
      <c r="M477" s="495">
        <f t="shared" si="209"/>
        <v>0</v>
      </c>
      <c r="N477" s="495">
        <f t="shared" si="209"/>
        <v>0</v>
      </c>
      <c r="O477" s="495">
        <f t="shared" ref="O477:O479" ca="1" si="210">IF(L477&gt;0,N477*100/L477,0)</f>
        <v>0</v>
      </c>
      <c r="P477" s="495">
        <f t="shared" ref="P477:P479" si="211">IF(M477&gt;0,N477*100/M477,0)</f>
        <v>0</v>
      </c>
      <c r="Q477" s="570"/>
      <c r="R477" s="570"/>
      <c r="S477" s="570"/>
      <c r="T477" s="570"/>
      <c r="U477" s="570"/>
      <c r="V477" s="570"/>
      <c r="W477" s="570"/>
      <c r="X477" s="570"/>
      <c r="Y477" s="570"/>
      <c r="Z477" s="570"/>
    </row>
    <row r="478" spans="1:26" ht="18.75" hidden="1">
      <c r="A478" s="591"/>
      <c r="B478" s="599"/>
      <c r="C478" s="599"/>
      <c r="D478" s="599"/>
      <c r="E478" s="599" t="s">
        <v>18</v>
      </c>
      <c r="F478" s="599"/>
      <c r="G478" s="595"/>
      <c r="H478" s="161" t="s">
        <v>12</v>
      </c>
      <c r="I478" s="162"/>
      <c r="J478" s="162"/>
      <c r="K478" s="163"/>
      <c r="L478" s="90">
        <v>0</v>
      </c>
      <c r="M478" s="90">
        <v>0</v>
      </c>
      <c r="N478" s="90">
        <v>0</v>
      </c>
      <c r="O478" s="90">
        <f t="shared" si="210"/>
        <v>0</v>
      </c>
      <c r="P478" s="90">
        <f t="shared" si="211"/>
        <v>0</v>
      </c>
      <c r="Q478" s="596"/>
      <c r="R478" s="596"/>
      <c r="S478" s="596"/>
      <c r="T478" s="596"/>
      <c r="U478" s="596"/>
      <c r="V478" s="596"/>
      <c r="W478" s="596"/>
      <c r="X478" s="596"/>
      <c r="Y478" s="596"/>
      <c r="Z478" s="596"/>
    </row>
    <row r="479" spans="1:26" ht="18.75" hidden="1">
      <c r="A479" s="591"/>
      <c r="B479" s="599"/>
      <c r="C479" s="599"/>
      <c r="D479" s="599"/>
      <c r="E479" s="599" t="s">
        <v>19</v>
      </c>
      <c r="F479" s="599"/>
      <c r="G479" s="595"/>
      <c r="H479" s="165" t="s">
        <v>12</v>
      </c>
      <c r="I479" s="162"/>
      <c r="J479" s="162"/>
      <c r="K479" s="163"/>
      <c r="L479" s="90">
        <f ca="1">IFERROR(__xludf.DUMMYFUNCTION("IMPORTRANGE(""https://docs.google.com/spreadsheets/d/1QqKyyYR6Q21VydFLVH3TRQUabQu_ym0Zz7PgGX0-kHA/edit?usp=sharing"",""แผน!FV73"")"),0)</f>
        <v>0</v>
      </c>
      <c r="M479" s="90">
        <v>0</v>
      </c>
      <c r="N479" s="90">
        <v>0</v>
      </c>
      <c r="O479" s="90">
        <f t="shared" ca="1" si="210"/>
        <v>0</v>
      </c>
      <c r="P479" s="90">
        <f t="shared" si="211"/>
        <v>0</v>
      </c>
      <c r="Q479" s="596"/>
      <c r="R479" s="596"/>
      <c r="S479" s="596"/>
      <c r="T479" s="596"/>
      <c r="U479" s="596"/>
      <c r="V479" s="596"/>
      <c r="W479" s="596"/>
      <c r="X479" s="596"/>
      <c r="Y479" s="596"/>
      <c r="Z479" s="596"/>
    </row>
    <row r="480" spans="1:26" ht="19.5" hidden="1">
      <c r="A480" s="600"/>
      <c r="B480" s="610"/>
      <c r="C480" s="567" t="s">
        <v>16</v>
      </c>
      <c r="D480" s="839" t="s">
        <v>38</v>
      </c>
      <c r="E480" s="603"/>
      <c r="F480" s="751"/>
      <c r="G480" s="605"/>
      <c r="H480" s="752"/>
      <c r="I480" s="264"/>
      <c r="J480" s="264"/>
      <c r="K480" s="495"/>
      <c r="L480" s="495"/>
      <c r="M480" s="495"/>
      <c r="N480" s="495"/>
      <c r="O480" s="495"/>
      <c r="P480" s="495"/>
      <c r="Q480" s="570"/>
      <c r="R480" s="570"/>
      <c r="S480" s="570"/>
      <c r="T480" s="570"/>
      <c r="U480" s="570"/>
      <c r="V480" s="570"/>
      <c r="W480" s="570"/>
      <c r="X480" s="570"/>
      <c r="Y480" s="570"/>
      <c r="Z480" s="570"/>
    </row>
    <row r="481" spans="1:26" ht="19.5" hidden="1">
      <c r="A481" s="600"/>
      <c r="B481" s="610"/>
      <c r="C481" s="610"/>
      <c r="D481" s="617" t="s">
        <v>206</v>
      </c>
      <c r="E481" s="610"/>
      <c r="F481" s="610"/>
      <c r="G481" s="752"/>
      <c r="H481" s="185"/>
      <c r="I481" s="264"/>
      <c r="J481" s="264"/>
      <c r="K481" s="495"/>
      <c r="L481" s="495"/>
      <c r="M481" s="495"/>
      <c r="N481" s="495"/>
      <c r="O481" s="495"/>
      <c r="P481" s="495"/>
      <c r="Q481" s="570"/>
      <c r="R481" s="570"/>
      <c r="S481" s="570"/>
      <c r="T481" s="570"/>
      <c r="U481" s="570"/>
      <c r="V481" s="570"/>
      <c r="W481" s="570"/>
      <c r="X481" s="570"/>
      <c r="Y481" s="570"/>
      <c r="Z481" s="570"/>
    </row>
    <row r="482" spans="1:26" ht="18.75" hidden="1">
      <c r="A482" s="600"/>
      <c r="B482" s="610"/>
      <c r="C482" s="610"/>
      <c r="D482" s="610"/>
      <c r="E482" s="610" t="s">
        <v>207</v>
      </c>
      <c r="F482" s="610"/>
      <c r="G482" s="752"/>
      <c r="H482" s="185"/>
      <c r="I482" s="264"/>
      <c r="J482" s="264"/>
      <c r="K482" s="495"/>
      <c r="L482" s="495"/>
      <c r="M482" s="495"/>
      <c r="N482" s="495"/>
      <c r="O482" s="495"/>
      <c r="P482" s="495"/>
      <c r="Q482" s="570"/>
      <c r="R482" s="570"/>
      <c r="S482" s="570"/>
      <c r="T482" s="570"/>
      <c r="U482" s="570"/>
      <c r="V482" s="570"/>
      <c r="W482" s="570"/>
      <c r="X482" s="570"/>
      <c r="Y482" s="570"/>
      <c r="Z482" s="570"/>
    </row>
    <row r="483" spans="1:26" ht="18.75" hidden="1">
      <c r="A483" s="600"/>
      <c r="B483" s="610"/>
      <c r="C483" s="610"/>
      <c r="D483" s="610"/>
      <c r="E483" s="610"/>
      <c r="F483" s="610" t="s">
        <v>208</v>
      </c>
      <c r="G483" s="752"/>
      <c r="H483" s="615" t="s">
        <v>46</v>
      </c>
      <c r="I483" s="264">
        <f ca="1">IFERROR(__xludf.DUMMYFUNCTION("IMPORTRANGE(""https://docs.google.com/spreadsheets/d/1QqKyyYR6Q21VydFLVH3TRQUabQu_ym0Zz7PgGX0-kHA/edit?usp=sharing"",""แผน!FY73"")"),0)</f>
        <v>0</v>
      </c>
      <c r="J483" s="210">
        <v>0</v>
      </c>
      <c r="K483" s="495">
        <f ca="1">IF(I483&gt;0,J483*100/I483,0)</f>
        <v>0</v>
      </c>
      <c r="L483" s="495"/>
      <c r="M483" s="495"/>
      <c r="N483" s="495"/>
      <c r="O483" s="495"/>
      <c r="P483" s="495"/>
      <c r="Q483" s="570"/>
      <c r="R483" s="570"/>
      <c r="S483" s="570"/>
      <c r="T483" s="570"/>
      <c r="U483" s="570"/>
      <c r="V483" s="570"/>
      <c r="W483" s="570"/>
      <c r="X483" s="570"/>
      <c r="Y483" s="570"/>
      <c r="Z483" s="570"/>
    </row>
    <row r="484" spans="1:26" ht="18.75" hidden="1">
      <c r="A484" s="600"/>
      <c r="B484" s="610"/>
      <c r="C484" s="610"/>
      <c r="D484" s="610"/>
      <c r="E484" s="610"/>
      <c r="F484" s="610" t="s">
        <v>209</v>
      </c>
      <c r="G484" s="752"/>
      <c r="H484" s="615" t="s">
        <v>35</v>
      </c>
      <c r="I484" s="264"/>
      <c r="J484" s="210">
        <v>0</v>
      </c>
      <c r="K484" s="495"/>
      <c r="L484" s="495"/>
      <c r="M484" s="495"/>
      <c r="N484" s="495"/>
      <c r="O484" s="495"/>
      <c r="P484" s="495"/>
      <c r="Q484" s="570"/>
      <c r="R484" s="570"/>
      <c r="S484" s="570"/>
      <c r="T484" s="570"/>
      <c r="U484" s="570"/>
      <c r="V484" s="570"/>
      <c r="W484" s="570"/>
      <c r="X484" s="570"/>
      <c r="Y484" s="570"/>
      <c r="Z484" s="570"/>
    </row>
    <row r="485" spans="1:26" ht="18.75" hidden="1">
      <c r="A485" s="600"/>
      <c r="B485" s="610"/>
      <c r="C485" s="610"/>
      <c r="D485" s="610"/>
      <c r="E485" s="610"/>
      <c r="F485" s="610" t="s">
        <v>210</v>
      </c>
      <c r="G485" s="752"/>
      <c r="H485" s="615" t="s">
        <v>35</v>
      </c>
      <c r="I485" s="264">
        <f ca="1">IFERROR(__xludf.DUMMYFUNCTION("IMPORTRANGE(""https://docs.google.com/spreadsheets/d/1QqKyyYR6Q21VydFLVH3TRQUabQu_ym0Zz7PgGX0-kHA/edit?usp=sharing"",""แผน!FZ73"")"),0)</f>
        <v>0</v>
      </c>
      <c r="J485" s="210">
        <v>0</v>
      </c>
      <c r="K485" s="495">
        <f ca="1">IF(I485&gt;0,J485*100/I485,0)</f>
        <v>0</v>
      </c>
      <c r="L485" s="495"/>
      <c r="M485" s="495"/>
      <c r="N485" s="495"/>
      <c r="O485" s="495"/>
      <c r="P485" s="495"/>
      <c r="Q485" s="570"/>
      <c r="R485" s="570"/>
      <c r="S485" s="570"/>
      <c r="T485" s="570"/>
      <c r="U485" s="570"/>
      <c r="V485" s="570"/>
      <c r="W485" s="570"/>
      <c r="X485" s="570"/>
      <c r="Y485" s="570"/>
      <c r="Z485" s="570"/>
    </row>
    <row r="486" spans="1:26" ht="18.75" hidden="1">
      <c r="A486" s="600"/>
      <c r="B486" s="610"/>
      <c r="C486" s="610"/>
      <c r="D486" s="610"/>
      <c r="E486" s="610" t="s">
        <v>62</v>
      </c>
      <c r="F486" s="610"/>
      <c r="G486" s="752"/>
      <c r="H486" s="615"/>
      <c r="I486" s="264"/>
      <c r="J486" s="264"/>
      <c r="K486" s="495"/>
      <c r="L486" s="495"/>
      <c r="M486" s="495"/>
      <c r="N486" s="495"/>
      <c r="O486" s="495"/>
      <c r="P486" s="495"/>
      <c r="Q486" s="570"/>
      <c r="R486" s="570"/>
      <c r="S486" s="570"/>
      <c r="T486" s="570"/>
      <c r="U486" s="570"/>
      <c r="V486" s="570"/>
      <c r="W486" s="570"/>
      <c r="X486" s="570"/>
      <c r="Y486" s="570"/>
      <c r="Z486" s="570"/>
    </row>
    <row r="487" spans="1:26" ht="18.75" hidden="1">
      <c r="A487" s="600"/>
      <c r="B487" s="610"/>
      <c r="C487" s="610"/>
      <c r="D487" s="610"/>
      <c r="E487" s="610"/>
      <c r="F487" s="610" t="s">
        <v>208</v>
      </c>
      <c r="G487" s="752"/>
      <c r="H487" s="615" t="s">
        <v>46</v>
      </c>
      <c r="I487" s="264">
        <f ca="1">IFERROR(__xludf.DUMMYFUNCTION("IMPORTRANGE(""https://docs.google.com/spreadsheets/d/1QqKyyYR6Q21VydFLVH3TRQUabQu_ym0Zz7PgGX0-kHA/edit?usp=sharing"",""แผน!GA73"")"),0)</f>
        <v>0</v>
      </c>
      <c r="J487" s="210">
        <v>0</v>
      </c>
      <c r="K487" s="495">
        <f ca="1">IF(I487&gt;0,J487*100/I487,0)</f>
        <v>0</v>
      </c>
      <c r="L487" s="495"/>
      <c r="M487" s="495"/>
      <c r="N487" s="495"/>
      <c r="O487" s="495"/>
      <c r="P487" s="495"/>
      <c r="Q487" s="570"/>
      <c r="R487" s="570"/>
      <c r="S487" s="570"/>
      <c r="T487" s="570"/>
      <c r="U487" s="570"/>
      <c r="V487" s="570"/>
      <c r="W487" s="570"/>
      <c r="X487" s="570"/>
      <c r="Y487" s="570"/>
      <c r="Z487" s="570"/>
    </row>
    <row r="488" spans="1:26" ht="18.75" hidden="1">
      <c r="A488" s="600"/>
      <c r="B488" s="610"/>
      <c r="C488" s="610"/>
      <c r="D488" s="610"/>
      <c r="E488" s="610"/>
      <c r="F488" s="610" t="s">
        <v>211</v>
      </c>
      <c r="G488" s="752"/>
      <c r="H488" s="615" t="s">
        <v>35</v>
      </c>
      <c r="I488" s="264"/>
      <c r="J488" s="210">
        <v>0</v>
      </c>
      <c r="K488" s="495"/>
      <c r="L488" s="495"/>
      <c r="M488" s="495"/>
      <c r="N488" s="495"/>
      <c r="O488" s="495"/>
      <c r="P488" s="495"/>
      <c r="Q488" s="570"/>
      <c r="R488" s="570"/>
      <c r="S488" s="570"/>
      <c r="T488" s="570"/>
      <c r="U488" s="570"/>
      <c r="V488" s="570"/>
      <c r="W488" s="570"/>
      <c r="X488" s="570"/>
      <c r="Y488" s="570"/>
      <c r="Z488" s="570"/>
    </row>
    <row r="489" spans="1:26" ht="18.75" hidden="1">
      <c r="A489" s="600"/>
      <c r="B489" s="610"/>
      <c r="C489" s="610"/>
      <c r="D489" s="610"/>
      <c r="E489" s="610"/>
      <c r="F489" s="610" t="s">
        <v>212</v>
      </c>
      <c r="G489" s="752"/>
      <c r="H489" s="615" t="s">
        <v>35</v>
      </c>
      <c r="I489" s="264">
        <f ca="1">IFERROR(__xludf.DUMMYFUNCTION("IMPORTRANGE(""https://docs.google.com/spreadsheets/d/1QqKyyYR6Q21VydFLVH3TRQUabQu_ym0Zz7PgGX0-kHA/edit?usp=sharing"",""แผน!GB73"")"),0)</f>
        <v>0</v>
      </c>
      <c r="J489" s="210">
        <v>0</v>
      </c>
      <c r="K489" s="495">
        <f ca="1">IF(I489&gt;0,J489*100/I489,0)</f>
        <v>0</v>
      </c>
      <c r="L489" s="495"/>
      <c r="M489" s="495"/>
      <c r="N489" s="495"/>
      <c r="O489" s="495"/>
      <c r="P489" s="495"/>
      <c r="Q489" s="570"/>
      <c r="R489" s="570"/>
      <c r="S489" s="570"/>
      <c r="T489" s="570"/>
      <c r="U489" s="570"/>
      <c r="V489" s="570"/>
      <c r="W489" s="570"/>
      <c r="X489" s="570"/>
      <c r="Y489" s="570"/>
      <c r="Z489" s="570"/>
    </row>
    <row r="490" spans="1:26" ht="18.75" hidden="1">
      <c r="A490" s="600"/>
      <c r="B490" s="610"/>
      <c r="C490" s="610"/>
      <c r="D490" s="610"/>
      <c r="E490" s="610" t="s">
        <v>63</v>
      </c>
      <c r="F490" s="618"/>
      <c r="G490" s="752"/>
      <c r="H490" s="615"/>
      <c r="I490" s="264"/>
      <c r="J490" s="264"/>
      <c r="K490" s="495"/>
      <c r="L490" s="495"/>
      <c r="M490" s="495"/>
      <c r="N490" s="495"/>
      <c r="O490" s="495"/>
      <c r="P490" s="495"/>
      <c r="Q490" s="570"/>
      <c r="R490" s="570"/>
      <c r="S490" s="570"/>
      <c r="T490" s="570"/>
      <c r="U490" s="570"/>
      <c r="V490" s="570"/>
      <c r="W490" s="570"/>
      <c r="X490" s="570"/>
      <c r="Y490" s="570"/>
      <c r="Z490" s="570"/>
    </row>
    <row r="491" spans="1:26" ht="18.75" hidden="1">
      <c r="A491" s="600"/>
      <c r="B491" s="610"/>
      <c r="C491" s="610"/>
      <c r="D491" s="610"/>
      <c r="E491" s="610"/>
      <c r="F491" s="610" t="s">
        <v>213</v>
      </c>
      <c r="G491" s="752"/>
      <c r="H491" s="615" t="s">
        <v>35</v>
      </c>
      <c r="I491" s="264"/>
      <c r="J491" s="210">
        <v>0</v>
      </c>
      <c r="K491" s="495"/>
      <c r="L491" s="495"/>
      <c r="M491" s="495"/>
      <c r="N491" s="495"/>
      <c r="O491" s="495"/>
      <c r="P491" s="495"/>
      <c r="Q491" s="570"/>
      <c r="R491" s="570"/>
      <c r="S491" s="570"/>
      <c r="T491" s="570"/>
      <c r="U491" s="570"/>
      <c r="V491" s="570"/>
      <c r="W491" s="570"/>
      <c r="X491" s="570"/>
      <c r="Y491" s="570"/>
      <c r="Z491" s="570"/>
    </row>
    <row r="492" spans="1:26" ht="18.75" hidden="1">
      <c r="A492" s="600"/>
      <c r="B492" s="610"/>
      <c r="C492" s="610"/>
      <c r="D492" s="610"/>
      <c r="E492" s="610"/>
      <c r="F492" s="610" t="s">
        <v>214</v>
      </c>
      <c r="G492" s="752"/>
      <c r="H492" s="615" t="s">
        <v>35</v>
      </c>
      <c r="I492" s="264">
        <f ca="1">IFERROR(__xludf.DUMMYFUNCTION("IMPORTRANGE(""https://docs.google.com/spreadsheets/d/1QqKyyYR6Q21VydFLVH3TRQUabQu_ym0Zz7PgGX0-kHA/edit?usp=sharing"",""แผน!GC73"")"),0)</f>
        <v>0</v>
      </c>
      <c r="J492" s="210">
        <v>0</v>
      </c>
      <c r="K492" s="495">
        <f ca="1">IF(I492&gt;0,J492*100/I492,0)</f>
        <v>0</v>
      </c>
      <c r="L492" s="495"/>
      <c r="M492" s="495"/>
      <c r="N492" s="495"/>
      <c r="O492" s="495"/>
      <c r="P492" s="495"/>
      <c r="Q492" s="570"/>
      <c r="R492" s="570"/>
      <c r="S492" s="570"/>
      <c r="T492" s="570"/>
      <c r="U492" s="570"/>
      <c r="V492" s="570"/>
      <c r="W492" s="570"/>
      <c r="X492" s="570"/>
      <c r="Y492" s="570"/>
      <c r="Z492" s="570"/>
    </row>
    <row r="493" spans="1:26" ht="19.5" hidden="1">
      <c r="A493" s="600"/>
      <c r="B493" s="610"/>
      <c r="C493" s="610"/>
      <c r="D493" s="617" t="s">
        <v>59</v>
      </c>
      <c r="E493" s="610"/>
      <c r="F493" s="618"/>
      <c r="G493" s="752"/>
      <c r="H493" s="185"/>
      <c r="I493" s="264"/>
      <c r="J493" s="264"/>
      <c r="K493" s="495"/>
      <c r="L493" s="495"/>
      <c r="M493" s="495"/>
      <c r="N493" s="495"/>
      <c r="O493" s="495"/>
      <c r="P493" s="495"/>
      <c r="Q493" s="570"/>
      <c r="R493" s="570"/>
      <c r="S493" s="570"/>
      <c r="T493" s="570"/>
      <c r="U493" s="570"/>
      <c r="V493" s="570"/>
      <c r="W493" s="570"/>
      <c r="X493" s="570"/>
      <c r="Y493" s="570"/>
      <c r="Z493" s="570"/>
    </row>
    <row r="494" spans="1:26" ht="18.75" hidden="1">
      <c r="A494" s="600"/>
      <c r="B494" s="610"/>
      <c r="C494" s="610"/>
      <c r="D494" s="610"/>
      <c r="E494" s="610" t="s">
        <v>207</v>
      </c>
      <c r="F494" s="618"/>
      <c r="G494" s="752"/>
      <c r="H494" s="185"/>
      <c r="I494" s="264"/>
      <c r="J494" s="264"/>
      <c r="K494" s="495"/>
      <c r="L494" s="495"/>
      <c r="M494" s="495"/>
      <c r="N494" s="495"/>
      <c r="O494" s="495"/>
      <c r="P494" s="495"/>
      <c r="Q494" s="570"/>
      <c r="R494" s="570"/>
      <c r="S494" s="570"/>
      <c r="T494" s="570"/>
      <c r="U494" s="570"/>
      <c r="V494" s="570"/>
      <c r="W494" s="570"/>
      <c r="X494" s="570"/>
      <c r="Y494" s="570"/>
      <c r="Z494" s="570"/>
    </row>
    <row r="495" spans="1:26" ht="18.75" hidden="1">
      <c r="A495" s="600"/>
      <c r="B495" s="610"/>
      <c r="C495" s="610"/>
      <c r="D495" s="610"/>
      <c r="E495" s="610"/>
      <c r="F495" s="618" t="s">
        <v>215</v>
      </c>
      <c r="G495" s="752"/>
      <c r="H495" s="615" t="s">
        <v>46</v>
      </c>
      <c r="I495" s="264">
        <f ca="1">IFERROR(__xludf.DUMMYFUNCTION("IMPORTRANGE(""https://docs.google.com/spreadsheets/d/1QqKyyYR6Q21VydFLVH3TRQUabQu_ym0Zz7PgGX0-kHA/edit?usp=sharing"",""แผน!FY73"")"),0)</f>
        <v>0</v>
      </c>
      <c r="J495" s="210">
        <v>0</v>
      </c>
      <c r="K495" s="495">
        <f ca="1">IF(I495&gt;0,J495*100/I495,0)</f>
        <v>0</v>
      </c>
      <c r="L495" s="495"/>
      <c r="M495" s="495"/>
      <c r="N495" s="495"/>
      <c r="O495" s="495"/>
      <c r="P495" s="495"/>
      <c r="Q495" s="570"/>
      <c r="R495" s="570"/>
      <c r="S495" s="570"/>
      <c r="T495" s="570"/>
      <c r="U495" s="570"/>
      <c r="V495" s="570"/>
      <c r="W495" s="570"/>
      <c r="X495" s="570"/>
      <c r="Y495" s="570"/>
      <c r="Z495" s="570"/>
    </row>
    <row r="496" spans="1:26" ht="18.75" hidden="1">
      <c r="A496" s="600"/>
      <c r="B496" s="610"/>
      <c r="C496" s="610"/>
      <c r="D496" s="610"/>
      <c r="E496" s="610"/>
      <c r="F496" s="618" t="s">
        <v>216</v>
      </c>
      <c r="G496" s="752"/>
      <c r="H496" s="615" t="s">
        <v>46</v>
      </c>
      <c r="I496" s="264"/>
      <c r="J496" s="210">
        <v>0</v>
      </c>
      <c r="K496" s="495"/>
      <c r="L496" s="495"/>
      <c r="M496" s="495"/>
      <c r="N496" s="495"/>
      <c r="O496" s="495"/>
      <c r="P496" s="495"/>
      <c r="Q496" s="570"/>
      <c r="R496" s="570"/>
      <c r="S496" s="570"/>
      <c r="T496" s="570"/>
      <c r="U496" s="570"/>
      <c r="V496" s="570"/>
      <c r="W496" s="570"/>
      <c r="X496" s="570"/>
      <c r="Y496" s="570"/>
      <c r="Z496" s="570"/>
    </row>
    <row r="497" spans="1:26" ht="18.75" hidden="1">
      <c r="A497" s="600"/>
      <c r="B497" s="610"/>
      <c r="C497" s="610"/>
      <c r="D497" s="610"/>
      <c r="E497" s="610" t="s">
        <v>62</v>
      </c>
      <c r="F497" s="618"/>
      <c r="G497" s="752"/>
      <c r="H497" s="185"/>
      <c r="I497" s="264"/>
      <c r="J497" s="264"/>
      <c r="K497" s="495"/>
      <c r="L497" s="495"/>
      <c r="M497" s="495"/>
      <c r="N497" s="495"/>
      <c r="O497" s="495"/>
      <c r="P497" s="495"/>
      <c r="Q497" s="570"/>
      <c r="R497" s="570"/>
      <c r="S497" s="570"/>
      <c r="T497" s="570"/>
      <c r="U497" s="570"/>
      <c r="V497" s="570"/>
      <c r="W497" s="570"/>
      <c r="X497" s="570"/>
      <c r="Y497" s="570"/>
      <c r="Z497" s="570"/>
    </row>
    <row r="498" spans="1:26" ht="18.75" hidden="1">
      <c r="A498" s="600"/>
      <c r="B498" s="610"/>
      <c r="C498" s="610"/>
      <c r="D498" s="610"/>
      <c r="E498" s="618"/>
      <c r="F498" s="618" t="s">
        <v>217</v>
      </c>
      <c r="G498" s="752"/>
      <c r="H498" s="615" t="s">
        <v>46</v>
      </c>
      <c r="I498" s="264">
        <f ca="1">IFERROR(__xludf.DUMMYFUNCTION("IMPORTRANGE(""https://docs.google.com/spreadsheets/d/1QqKyyYR6Q21VydFLVH3TRQUabQu_ym0Zz7PgGX0-kHA/edit?usp=sharing"",""แผน!GA73"")"),0)</f>
        <v>0</v>
      </c>
      <c r="J498" s="210">
        <v>0</v>
      </c>
      <c r="K498" s="495">
        <f ca="1">IF(I498&gt;0,J498*100/I498,0)</f>
        <v>0</v>
      </c>
      <c r="L498" s="495"/>
      <c r="M498" s="495"/>
      <c r="N498" s="495"/>
      <c r="O498" s="495"/>
      <c r="P498" s="495"/>
      <c r="Q498" s="570"/>
      <c r="R498" s="570"/>
      <c r="S498" s="570"/>
      <c r="T498" s="570"/>
      <c r="U498" s="570"/>
      <c r="V498" s="570"/>
      <c r="W498" s="570"/>
      <c r="X498" s="570"/>
      <c r="Y498" s="570"/>
      <c r="Z498" s="570"/>
    </row>
    <row r="499" spans="1:26" ht="18.75" hidden="1">
      <c r="A499" s="600"/>
      <c r="B499" s="610"/>
      <c r="C499" s="610"/>
      <c r="D499" s="610"/>
      <c r="E499" s="618"/>
      <c r="F499" s="618" t="s">
        <v>218</v>
      </c>
      <c r="G499" s="752"/>
      <c r="H499" s="615" t="s">
        <v>46</v>
      </c>
      <c r="I499" s="264"/>
      <c r="J499" s="210">
        <v>0</v>
      </c>
      <c r="K499" s="495"/>
      <c r="L499" s="495"/>
      <c r="M499" s="495"/>
      <c r="N499" s="495"/>
      <c r="O499" s="495"/>
      <c r="P499" s="495"/>
      <c r="Q499" s="570"/>
      <c r="R499" s="570"/>
      <c r="S499" s="570"/>
      <c r="T499" s="570"/>
      <c r="U499" s="570"/>
      <c r="V499" s="570"/>
      <c r="W499" s="570"/>
      <c r="X499" s="570"/>
      <c r="Y499" s="570"/>
      <c r="Z499" s="570"/>
    </row>
    <row r="500" spans="1:26" ht="19.5" hidden="1">
      <c r="A500" s="619">
        <v>4</v>
      </c>
      <c r="B500" s="620" t="s">
        <v>219</v>
      </c>
      <c r="C500" s="621"/>
      <c r="D500" s="622"/>
      <c r="E500" s="622"/>
      <c r="F500" s="622"/>
      <c r="G500" s="623"/>
      <c r="H500" s="624" t="s">
        <v>109</v>
      </c>
      <c r="I500" s="625"/>
      <c r="J500" s="625">
        <f t="shared" ref="J500:J501" si="212">J516</f>
        <v>0</v>
      </c>
      <c r="K500" s="626">
        <f t="shared" ref="K500:K501" si="213">IF(I500&gt;0,J500*100/I500,0)</f>
        <v>0</v>
      </c>
      <c r="L500" s="627"/>
      <c r="M500" s="627"/>
      <c r="N500" s="627"/>
      <c r="O500" s="627"/>
      <c r="P500" s="627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</row>
    <row r="501" spans="1:26" ht="19.5" hidden="1">
      <c r="A501" s="628"/>
      <c r="B501" s="630" t="s">
        <v>220</v>
      </c>
      <c r="C501" s="630"/>
      <c r="D501" s="631"/>
      <c r="E501" s="631"/>
      <c r="F501" s="631"/>
      <c r="G501" s="632"/>
      <c r="H501" s="633" t="s">
        <v>35</v>
      </c>
      <c r="I501" s="634"/>
      <c r="J501" s="634">
        <f t="shared" si="212"/>
        <v>0</v>
      </c>
      <c r="K501" s="635">
        <f t="shared" si="213"/>
        <v>0</v>
      </c>
      <c r="L501" s="636"/>
      <c r="M501" s="636"/>
      <c r="N501" s="636"/>
      <c r="O501" s="636"/>
      <c r="P501" s="63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</row>
    <row r="502" spans="1:26" ht="19.5" hidden="1">
      <c r="A502" s="591"/>
      <c r="B502" s="749"/>
      <c r="C502" s="749" t="s">
        <v>16</v>
      </c>
      <c r="D502" s="850" t="s">
        <v>17</v>
      </c>
      <c r="E502" s="846"/>
      <c r="F502" s="846"/>
      <c r="G502" s="595"/>
      <c r="H502" s="638" t="s">
        <v>12</v>
      </c>
      <c r="I502" s="609"/>
      <c r="J502" s="609"/>
      <c r="K502" s="90"/>
      <c r="L502" s="639">
        <f t="shared" ref="L502:N502" si="214">L503+L504</f>
        <v>0</v>
      </c>
      <c r="M502" s="639">
        <f t="shared" si="214"/>
        <v>0</v>
      </c>
      <c r="N502" s="639">
        <f t="shared" si="214"/>
        <v>0</v>
      </c>
      <c r="O502" s="639">
        <f t="shared" ref="O502:O507" si="215">IF(L502&gt;0,N502*100/L502,0)</f>
        <v>0</v>
      </c>
      <c r="P502" s="639">
        <f t="shared" ref="P502:P507" si="216">IF(M502&gt;0,N502*100/M502,0)</f>
        <v>0</v>
      </c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</row>
    <row r="503" spans="1:26" ht="18.75" hidden="1">
      <c r="A503" s="591"/>
      <c r="B503" s="749"/>
      <c r="C503" s="749"/>
      <c r="D503" s="710"/>
      <c r="E503" s="749" t="s">
        <v>184</v>
      </c>
      <c r="F503" s="749"/>
      <c r="G503" s="595"/>
      <c r="H503" s="161" t="s">
        <v>12</v>
      </c>
      <c r="I503" s="609"/>
      <c r="J503" s="609"/>
      <c r="K503" s="90"/>
      <c r="L503" s="90">
        <f t="shared" ref="L503:N504" si="217">L506+L513</f>
        <v>0</v>
      </c>
      <c r="M503" s="90">
        <f t="shared" si="217"/>
        <v>0</v>
      </c>
      <c r="N503" s="90">
        <f t="shared" si="217"/>
        <v>0</v>
      </c>
      <c r="O503" s="90">
        <f t="shared" si="215"/>
        <v>0</v>
      </c>
      <c r="P503" s="90">
        <f t="shared" si="216"/>
        <v>0</v>
      </c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</row>
    <row r="504" spans="1:26" ht="18.75" hidden="1">
      <c r="A504" s="591"/>
      <c r="B504" s="599"/>
      <c r="C504" s="749"/>
      <c r="D504" s="710"/>
      <c r="E504" s="749" t="s">
        <v>185</v>
      </c>
      <c r="F504" s="749"/>
      <c r="G504" s="595"/>
      <c r="H504" s="161" t="s">
        <v>12</v>
      </c>
      <c r="I504" s="609"/>
      <c r="J504" s="609"/>
      <c r="K504" s="90"/>
      <c r="L504" s="90">
        <f t="shared" si="217"/>
        <v>0</v>
      </c>
      <c r="M504" s="90">
        <f t="shared" si="217"/>
        <v>0</v>
      </c>
      <c r="N504" s="90">
        <f t="shared" si="217"/>
        <v>0</v>
      </c>
      <c r="O504" s="90">
        <f t="shared" si="215"/>
        <v>0</v>
      </c>
      <c r="P504" s="90">
        <f t="shared" si="216"/>
        <v>0</v>
      </c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</row>
    <row r="505" spans="1:26" ht="18.75" hidden="1">
      <c r="A505" s="591"/>
      <c r="B505" s="599"/>
      <c r="C505" s="749"/>
      <c r="D505" s="640" t="s">
        <v>20</v>
      </c>
      <c r="E505" s="749"/>
      <c r="F505" s="749"/>
      <c r="G505" s="595"/>
      <c r="H505" s="161" t="s">
        <v>12</v>
      </c>
      <c r="I505" s="162"/>
      <c r="J505" s="162"/>
      <c r="K505" s="163"/>
      <c r="L505" s="90">
        <f t="shared" ref="L505:N505" si="218">L506+L507</f>
        <v>0</v>
      </c>
      <c r="M505" s="90">
        <f t="shared" si="218"/>
        <v>0</v>
      </c>
      <c r="N505" s="90">
        <f t="shared" si="218"/>
        <v>0</v>
      </c>
      <c r="O505" s="90">
        <f t="shared" si="215"/>
        <v>0</v>
      </c>
      <c r="P505" s="90">
        <f t="shared" si="216"/>
        <v>0</v>
      </c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</row>
    <row r="506" spans="1:26" ht="18.75" hidden="1">
      <c r="A506" s="591"/>
      <c r="B506" s="599"/>
      <c r="C506" s="749"/>
      <c r="D506" s="710"/>
      <c r="E506" s="749" t="s">
        <v>184</v>
      </c>
      <c r="F506" s="749"/>
      <c r="G506" s="595"/>
      <c r="H506" s="161" t="s">
        <v>12</v>
      </c>
      <c r="I506" s="609"/>
      <c r="J506" s="609"/>
      <c r="K506" s="90"/>
      <c r="L506" s="90">
        <v>0</v>
      </c>
      <c r="M506" s="90">
        <v>0</v>
      </c>
      <c r="N506" s="90">
        <v>0</v>
      </c>
      <c r="O506" s="90">
        <f t="shared" si="215"/>
        <v>0</v>
      </c>
      <c r="P506" s="90">
        <f t="shared" si="216"/>
        <v>0</v>
      </c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</row>
    <row r="507" spans="1:26" ht="18.75" hidden="1">
      <c r="A507" s="591"/>
      <c r="B507" s="599"/>
      <c r="C507" s="749"/>
      <c r="D507" s="710"/>
      <c r="E507" s="749" t="s">
        <v>185</v>
      </c>
      <c r="F507" s="749"/>
      <c r="G507" s="595"/>
      <c r="H507" s="161" t="s">
        <v>12</v>
      </c>
      <c r="I507" s="609"/>
      <c r="J507" s="609"/>
      <c r="K507" s="90"/>
      <c r="L507" s="90">
        <v>0</v>
      </c>
      <c r="M507" s="90">
        <v>0</v>
      </c>
      <c r="N507" s="90">
        <f>N508+N509+N510+N511</f>
        <v>0</v>
      </c>
      <c r="O507" s="90">
        <f t="shared" si="215"/>
        <v>0</v>
      </c>
      <c r="P507" s="90">
        <f t="shared" si="216"/>
        <v>0</v>
      </c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</row>
    <row r="508" spans="1:26" ht="18.75" hidden="1">
      <c r="A508" s="641"/>
      <c r="B508" s="599"/>
      <c r="C508" s="749"/>
      <c r="D508" s="749"/>
      <c r="E508" s="749"/>
      <c r="F508" s="749" t="s">
        <v>186</v>
      </c>
      <c r="G508" s="595"/>
      <c r="H508" s="161" t="s">
        <v>12</v>
      </c>
      <c r="I508" s="609"/>
      <c r="J508" s="609"/>
      <c r="K508" s="90"/>
      <c r="L508" s="90"/>
      <c r="M508" s="90"/>
      <c r="N508" s="90">
        <v>0</v>
      </c>
      <c r="O508" s="90"/>
      <c r="P508" s="90"/>
      <c r="Q508" s="596"/>
      <c r="R508" s="596"/>
      <c r="S508" s="596"/>
      <c r="T508" s="596"/>
      <c r="U508" s="596"/>
      <c r="V508" s="596"/>
      <c r="W508" s="596"/>
      <c r="X508" s="596"/>
      <c r="Y508" s="596"/>
      <c r="Z508" s="596"/>
    </row>
    <row r="509" spans="1:26" ht="18.75" hidden="1">
      <c r="A509" s="641"/>
      <c r="B509" s="599"/>
      <c r="C509" s="749"/>
      <c r="D509" s="749"/>
      <c r="E509" s="749"/>
      <c r="F509" s="749" t="s">
        <v>187</v>
      </c>
      <c r="G509" s="595"/>
      <c r="H509" s="161" t="s">
        <v>12</v>
      </c>
      <c r="I509" s="609"/>
      <c r="J509" s="609"/>
      <c r="K509" s="90"/>
      <c r="L509" s="90"/>
      <c r="M509" s="90"/>
      <c r="N509" s="90">
        <v>0</v>
      </c>
      <c r="O509" s="90"/>
      <c r="P509" s="90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</row>
    <row r="510" spans="1:26" ht="18.75" hidden="1">
      <c r="A510" s="641"/>
      <c r="B510" s="599"/>
      <c r="C510" s="599"/>
      <c r="D510" s="599"/>
      <c r="E510" s="749"/>
      <c r="F510" s="749" t="s">
        <v>188</v>
      </c>
      <c r="G510" s="595"/>
      <c r="H510" s="161" t="s">
        <v>12</v>
      </c>
      <c r="I510" s="609"/>
      <c r="J510" s="609"/>
      <c r="K510" s="90"/>
      <c r="L510" s="90"/>
      <c r="M510" s="90"/>
      <c r="N510" s="90">
        <v>0</v>
      </c>
      <c r="O510" s="90"/>
      <c r="P510" s="90"/>
      <c r="Q510" s="596"/>
      <c r="R510" s="596"/>
      <c r="S510" s="596"/>
      <c r="T510" s="596"/>
      <c r="U510" s="596"/>
      <c r="V510" s="596"/>
      <c r="W510" s="596"/>
      <c r="X510" s="596"/>
      <c r="Y510" s="596"/>
      <c r="Z510" s="596"/>
    </row>
    <row r="511" spans="1:26" ht="18.75" hidden="1">
      <c r="A511" s="641"/>
      <c r="B511" s="599"/>
      <c r="C511" s="599"/>
      <c r="D511" s="599"/>
      <c r="E511" s="749"/>
      <c r="F511" s="749" t="s">
        <v>189</v>
      </c>
      <c r="G511" s="595"/>
      <c r="H511" s="161" t="s">
        <v>12</v>
      </c>
      <c r="I511" s="609"/>
      <c r="J511" s="609"/>
      <c r="K511" s="90"/>
      <c r="L511" s="90"/>
      <c r="M511" s="90"/>
      <c r="N511" s="90">
        <v>0</v>
      </c>
      <c r="O511" s="90"/>
      <c r="P511" s="90"/>
      <c r="Q511" s="596"/>
      <c r="R511" s="596"/>
      <c r="S511" s="596"/>
      <c r="T511" s="596"/>
      <c r="U511" s="596"/>
      <c r="V511" s="596"/>
      <c r="W511" s="596"/>
      <c r="X511" s="596"/>
      <c r="Y511" s="596"/>
      <c r="Z511" s="596"/>
    </row>
    <row r="512" spans="1:26" ht="18.75" hidden="1">
      <c r="A512" s="591"/>
      <c r="B512" s="599"/>
      <c r="C512" s="599"/>
      <c r="D512" s="640" t="s">
        <v>21</v>
      </c>
      <c r="E512" s="599"/>
      <c r="F512" s="749"/>
      <c r="G512" s="595"/>
      <c r="H512" s="165" t="s">
        <v>12</v>
      </c>
      <c r="I512" s="162"/>
      <c r="J512" s="162"/>
      <c r="K512" s="163"/>
      <c r="L512" s="90">
        <f t="shared" ref="L512:N512" si="219">L513+L514</f>
        <v>0</v>
      </c>
      <c r="M512" s="90">
        <f t="shared" si="219"/>
        <v>0</v>
      </c>
      <c r="N512" s="90">
        <f t="shared" si="219"/>
        <v>0</v>
      </c>
      <c r="O512" s="90">
        <f t="shared" ref="O512:O514" si="220">IF(L512&gt;0,N512*100/L512,0)</f>
        <v>0</v>
      </c>
      <c r="P512" s="90">
        <f t="shared" ref="P512:P514" si="221">IF(M512&gt;0,N512*100/M512,0)</f>
        <v>0</v>
      </c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</row>
    <row r="513" spans="1:26" ht="18.75" hidden="1">
      <c r="A513" s="591"/>
      <c r="B513" s="599"/>
      <c r="C513" s="599"/>
      <c r="D513" s="599"/>
      <c r="E513" s="599" t="s">
        <v>18</v>
      </c>
      <c r="F513" s="749"/>
      <c r="G513" s="595"/>
      <c r="H513" s="161" t="s">
        <v>12</v>
      </c>
      <c r="I513" s="162"/>
      <c r="J513" s="162"/>
      <c r="K513" s="163"/>
      <c r="L513" s="90">
        <v>0</v>
      </c>
      <c r="M513" s="90">
        <v>0</v>
      </c>
      <c r="N513" s="90">
        <v>0</v>
      </c>
      <c r="O513" s="90">
        <f t="shared" si="220"/>
        <v>0</v>
      </c>
      <c r="P513" s="90">
        <f t="shared" si="221"/>
        <v>0</v>
      </c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</row>
    <row r="514" spans="1:26" ht="18.75" hidden="1">
      <c r="A514" s="591"/>
      <c r="B514" s="599"/>
      <c r="C514" s="599"/>
      <c r="D514" s="749"/>
      <c r="E514" s="599" t="s">
        <v>19</v>
      </c>
      <c r="F514" s="749"/>
      <c r="G514" s="595"/>
      <c r="H514" s="165" t="s">
        <v>12</v>
      </c>
      <c r="I514" s="162"/>
      <c r="J514" s="162"/>
      <c r="K514" s="163"/>
      <c r="L514" s="90">
        <v>0</v>
      </c>
      <c r="M514" s="90">
        <v>0</v>
      </c>
      <c r="N514" s="90">
        <v>0</v>
      </c>
      <c r="O514" s="90">
        <f t="shared" si="220"/>
        <v>0</v>
      </c>
      <c r="P514" s="90">
        <f t="shared" si="221"/>
        <v>0</v>
      </c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</row>
    <row r="515" spans="1:26" ht="19.5" hidden="1">
      <c r="A515" s="606"/>
      <c r="B515" s="608"/>
      <c r="C515" s="599" t="s">
        <v>16</v>
      </c>
      <c r="D515" s="840" t="s">
        <v>38</v>
      </c>
      <c r="E515" s="643"/>
      <c r="F515" s="643"/>
      <c r="G515" s="644"/>
      <c r="H515" s="361"/>
      <c r="I515" s="162"/>
      <c r="J515" s="162"/>
      <c r="K515" s="163"/>
      <c r="L515" s="163"/>
      <c r="M515" s="163"/>
      <c r="N515" s="163"/>
      <c r="O515" s="163"/>
      <c r="P515" s="163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</row>
    <row r="516" spans="1:26" ht="18.75" hidden="1">
      <c r="A516" s="606"/>
      <c r="B516" s="608"/>
      <c r="C516" s="608"/>
      <c r="D516" s="608" t="s">
        <v>221</v>
      </c>
      <c r="E516" s="710"/>
      <c r="F516" s="710"/>
      <c r="G516" s="361"/>
      <c r="H516" s="645" t="s">
        <v>109</v>
      </c>
      <c r="I516" s="609"/>
      <c r="J516" s="609">
        <v>0</v>
      </c>
      <c r="K516" s="163">
        <f t="shared" ref="K516:K517" si="222">IF(I516&gt;0,J516*100/I516,0)</f>
        <v>0</v>
      </c>
      <c r="L516" s="163"/>
      <c r="M516" s="163"/>
      <c r="N516" s="163"/>
      <c r="O516" s="163"/>
      <c r="P516" s="163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</row>
    <row r="517" spans="1:26" ht="19.5" hidden="1">
      <c r="A517" s="606"/>
      <c r="B517" s="608"/>
      <c r="C517" s="608"/>
      <c r="D517" s="608" t="s">
        <v>222</v>
      </c>
      <c r="E517" s="710"/>
      <c r="F517" s="710"/>
      <c r="G517" s="361"/>
      <c r="H517" s="646" t="s">
        <v>35</v>
      </c>
      <c r="I517" s="647"/>
      <c r="J517" s="647">
        <f>J518+J519</f>
        <v>0</v>
      </c>
      <c r="K517" s="648">
        <f t="shared" si="222"/>
        <v>0</v>
      </c>
      <c r="L517" s="163"/>
      <c r="M517" s="163"/>
      <c r="N517" s="163"/>
      <c r="O517" s="163"/>
      <c r="P517" s="163"/>
      <c r="Q517" s="596"/>
      <c r="R517" s="596"/>
      <c r="S517" s="596"/>
      <c r="T517" s="596"/>
      <c r="U517" s="596"/>
      <c r="V517" s="596"/>
      <c r="W517" s="596"/>
      <c r="X517" s="596"/>
      <c r="Y517" s="596"/>
      <c r="Z517" s="596"/>
    </row>
    <row r="518" spans="1:26" ht="18.75" hidden="1">
      <c r="A518" s="606"/>
      <c r="B518" s="608"/>
      <c r="C518" s="608"/>
      <c r="D518" s="608"/>
      <c r="E518" s="608" t="s">
        <v>223</v>
      </c>
      <c r="F518" s="710"/>
      <c r="G518" s="361"/>
      <c r="H518" s="365" t="s">
        <v>35</v>
      </c>
      <c r="I518" s="609"/>
      <c r="J518" s="609"/>
      <c r="K518" s="163"/>
      <c r="L518" s="163"/>
      <c r="M518" s="163"/>
      <c r="N518" s="163"/>
      <c r="O518" s="163"/>
      <c r="P518" s="163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</row>
    <row r="519" spans="1:26" ht="18.75" hidden="1">
      <c r="A519" s="606"/>
      <c r="B519" s="608"/>
      <c r="C519" s="608"/>
      <c r="D519" s="608"/>
      <c r="E519" s="608" t="s">
        <v>224</v>
      </c>
      <c r="F519" s="710"/>
      <c r="G519" s="361"/>
      <c r="H519" s="645" t="s">
        <v>35</v>
      </c>
      <c r="I519" s="609"/>
      <c r="J519" s="609"/>
      <c r="K519" s="163"/>
      <c r="L519" s="163"/>
      <c r="M519" s="163"/>
      <c r="N519" s="163"/>
      <c r="O519" s="163"/>
      <c r="P519" s="163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</row>
    <row r="520" spans="1:26" ht="19.5" hidden="1">
      <c r="A520" s="649" t="s">
        <v>137</v>
      </c>
      <c r="B520" s="650"/>
      <c r="C520" s="650"/>
      <c r="D520" s="651"/>
      <c r="E520" s="651"/>
      <c r="F520" s="651"/>
      <c r="G520" s="652"/>
      <c r="H520" s="653"/>
      <c r="I520" s="654"/>
      <c r="J520" s="654"/>
      <c r="K520" s="655"/>
      <c r="L520" s="655"/>
      <c r="M520" s="655"/>
      <c r="N520" s="655"/>
      <c r="O520" s="655"/>
      <c r="P520" s="655"/>
    </row>
    <row r="521" spans="1:26" ht="19.5" hidden="1">
      <c r="A521" s="656">
        <v>5</v>
      </c>
      <c r="B521" s="657" t="s">
        <v>225</v>
      </c>
      <c r="C521" s="658"/>
      <c r="D521" s="659"/>
      <c r="E521" s="659"/>
      <c r="F521" s="659"/>
      <c r="G521" s="659"/>
      <c r="H521" s="660"/>
      <c r="I521" s="661"/>
      <c r="J521" s="661"/>
      <c r="K521" s="662"/>
      <c r="L521" s="662"/>
      <c r="M521" s="662"/>
      <c r="N521" s="662"/>
      <c r="O521" s="662"/>
      <c r="P521" s="662"/>
      <c r="Q521" s="570"/>
      <c r="R521" s="570"/>
      <c r="S521" s="570"/>
      <c r="T521" s="570"/>
      <c r="U521" s="570"/>
      <c r="V521" s="570"/>
      <c r="W521" s="570"/>
      <c r="X521" s="570"/>
      <c r="Y521" s="570"/>
      <c r="Z521" s="570"/>
    </row>
    <row r="522" spans="1:26" ht="19.5" hidden="1">
      <c r="A522" s="663"/>
      <c r="B522" s="664" t="s">
        <v>226</v>
      </c>
      <c r="C522" s="665"/>
      <c r="D522" s="665"/>
      <c r="E522" s="665"/>
      <c r="F522" s="665"/>
      <c r="G522" s="666"/>
      <c r="H522" s="667" t="s">
        <v>35</v>
      </c>
      <c r="I522" s="698">
        <f t="shared" ref="I522:J522" ca="1" si="223">I537</f>
        <v>0</v>
      </c>
      <c r="J522" s="698">
        <f t="shared" ca="1" si="223"/>
        <v>0</v>
      </c>
      <c r="K522" s="669">
        <f ca="1">IF(I522&gt;0,J522*100/I522,0)</f>
        <v>0</v>
      </c>
      <c r="L522" s="670"/>
      <c r="M522" s="670"/>
      <c r="N522" s="670"/>
      <c r="O522" s="670"/>
      <c r="P522" s="670"/>
      <c r="Q522" s="570"/>
      <c r="R522" s="570"/>
      <c r="S522" s="570"/>
      <c r="T522" s="570"/>
      <c r="U522" s="570"/>
      <c r="V522" s="570"/>
      <c r="W522" s="570"/>
      <c r="X522" s="570"/>
      <c r="Y522" s="570"/>
      <c r="Z522" s="570"/>
    </row>
    <row r="523" spans="1:26" ht="19.5" hidden="1">
      <c r="A523" s="589"/>
      <c r="B523" s="753"/>
      <c r="C523" s="753" t="s">
        <v>16</v>
      </c>
      <c r="D523" s="845" t="s">
        <v>17</v>
      </c>
      <c r="E523" s="846"/>
      <c r="F523" s="846"/>
      <c r="G523" s="185"/>
      <c r="H523" s="590" t="s">
        <v>12</v>
      </c>
      <c r="I523" s="264"/>
      <c r="J523" s="264"/>
      <c r="K523" s="495"/>
      <c r="L523" s="191">
        <f t="shared" ref="L523:N523" ca="1" si="224">L524+L525</f>
        <v>0</v>
      </c>
      <c r="M523" s="191">
        <f t="shared" si="224"/>
        <v>0</v>
      </c>
      <c r="N523" s="191">
        <f t="shared" si="224"/>
        <v>0</v>
      </c>
      <c r="O523" s="191">
        <f t="shared" ref="O523:O528" ca="1" si="225">IF(L523&gt;0,N523*100/L523,0)</f>
        <v>0</v>
      </c>
      <c r="P523" s="191">
        <f t="shared" ref="P523:P528" si="226">IF(M523&gt;0,N523*100/M523,0)</f>
        <v>0</v>
      </c>
      <c r="Q523" s="570"/>
      <c r="R523" s="570"/>
      <c r="S523" s="570"/>
      <c r="T523" s="570"/>
      <c r="U523" s="570"/>
      <c r="V523" s="570"/>
      <c r="W523" s="570"/>
      <c r="X523" s="570"/>
      <c r="Y523" s="570"/>
      <c r="Z523" s="570"/>
    </row>
    <row r="524" spans="1:26" ht="18.75" hidden="1">
      <c r="A524" s="591"/>
      <c r="B524" s="749"/>
      <c r="C524" s="749"/>
      <c r="D524" s="710"/>
      <c r="E524" s="749" t="s">
        <v>184</v>
      </c>
      <c r="F524" s="749"/>
      <c r="G524" s="595"/>
      <c r="H524" s="161" t="s">
        <v>12</v>
      </c>
      <c r="I524" s="609"/>
      <c r="J524" s="609"/>
      <c r="K524" s="90"/>
      <c r="L524" s="90">
        <f t="shared" ref="L524:N525" si="227">L527+L534</f>
        <v>0</v>
      </c>
      <c r="M524" s="90">
        <f t="shared" si="227"/>
        <v>0</v>
      </c>
      <c r="N524" s="90">
        <f t="shared" si="227"/>
        <v>0</v>
      </c>
      <c r="O524" s="90">
        <f t="shared" si="225"/>
        <v>0</v>
      </c>
      <c r="P524" s="90">
        <f t="shared" si="226"/>
        <v>0</v>
      </c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</row>
    <row r="525" spans="1:26" ht="18.75" hidden="1">
      <c r="A525" s="591"/>
      <c r="B525" s="599"/>
      <c r="C525" s="749"/>
      <c r="D525" s="710"/>
      <c r="E525" s="749" t="s">
        <v>185</v>
      </c>
      <c r="F525" s="749"/>
      <c r="G525" s="595"/>
      <c r="H525" s="161" t="s">
        <v>12</v>
      </c>
      <c r="I525" s="609"/>
      <c r="J525" s="609"/>
      <c r="K525" s="90"/>
      <c r="L525" s="90">
        <f t="shared" ca="1" si="227"/>
        <v>0</v>
      </c>
      <c r="M525" s="90">
        <f t="shared" si="227"/>
        <v>0</v>
      </c>
      <c r="N525" s="90">
        <f t="shared" si="227"/>
        <v>0</v>
      </c>
      <c r="O525" s="90">
        <f t="shared" ca="1" si="225"/>
        <v>0</v>
      </c>
      <c r="P525" s="90">
        <f t="shared" si="226"/>
        <v>0</v>
      </c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</row>
    <row r="526" spans="1:26" ht="18.75" hidden="1">
      <c r="A526" s="589"/>
      <c r="B526" s="567"/>
      <c r="C526" s="753"/>
      <c r="D526" s="598" t="s">
        <v>20</v>
      </c>
      <c r="E526" s="753"/>
      <c r="F526" s="753"/>
      <c r="G526" s="185"/>
      <c r="H526" s="157" t="s">
        <v>12</v>
      </c>
      <c r="I526" s="180"/>
      <c r="J526" s="180"/>
      <c r="K526" s="159"/>
      <c r="L526" s="495">
        <f t="shared" ref="L526:N526" ca="1" si="228">L527+L528</f>
        <v>0</v>
      </c>
      <c r="M526" s="495">
        <f t="shared" si="228"/>
        <v>0</v>
      </c>
      <c r="N526" s="495">
        <f t="shared" si="228"/>
        <v>0</v>
      </c>
      <c r="O526" s="495">
        <f t="shared" ca="1" si="225"/>
        <v>0</v>
      </c>
      <c r="P526" s="495">
        <f t="shared" si="226"/>
        <v>0</v>
      </c>
      <c r="Q526" s="570"/>
      <c r="R526" s="570"/>
      <c r="S526" s="570"/>
      <c r="T526" s="570"/>
      <c r="U526" s="570"/>
      <c r="V526" s="570"/>
      <c r="W526" s="570"/>
      <c r="X526" s="570"/>
      <c r="Y526" s="570"/>
      <c r="Z526" s="570"/>
    </row>
    <row r="527" spans="1:26" ht="18.75" hidden="1">
      <c r="A527" s="591"/>
      <c r="B527" s="599"/>
      <c r="C527" s="749"/>
      <c r="D527" s="710"/>
      <c r="E527" s="749" t="s">
        <v>184</v>
      </c>
      <c r="F527" s="749"/>
      <c r="G527" s="595"/>
      <c r="H527" s="161" t="s">
        <v>12</v>
      </c>
      <c r="I527" s="609"/>
      <c r="J527" s="609"/>
      <c r="K527" s="90"/>
      <c r="L527" s="90">
        <v>0</v>
      </c>
      <c r="M527" s="90">
        <v>0</v>
      </c>
      <c r="N527" s="90">
        <v>0</v>
      </c>
      <c r="O527" s="90">
        <f t="shared" si="225"/>
        <v>0</v>
      </c>
      <c r="P527" s="90">
        <f t="shared" si="226"/>
        <v>0</v>
      </c>
      <c r="Q527" s="596"/>
      <c r="R527" s="596"/>
      <c r="S527" s="596"/>
      <c r="T527" s="596"/>
      <c r="U527" s="596"/>
      <c r="V527" s="596"/>
      <c r="W527" s="596"/>
      <c r="X527" s="596"/>
      <c r="Y527" s="596"/>
      <c r="Z527" s="596"/>
    </row>
    <row r="528" spans="1:26" ht="18.75" hidden="1">
      <c r="A528" s="591"/>
      <c r="B528" s="599"/>
      <c r="C528" s="749"/>
      <c r="D528" s="710"/>
      <c r="E528" s="749" t="s">
        <v>185</v>
      </c>
      <c r="F528" s="749"/>
      <c r="G528" s="595"/>
      <c r="H528" s="161" t="s">
        <v>12</v>
      </c>
      <c r="I528" s="609"/>
      <c r="J528" s="609"/>
      <c r="K528" s="90"/>
      <c r="L528" s="90">
        <f ca="1">IFERROR(__xludf.DUMMYFUNCTION("IMPORTRANGE(""https://docs.google.com/spreadsheets/d/1QqKyyYR6Q21VydFLVH3TRQUabQu_ym0Zz7PgGX0-kHA/edit?usp=sharing"",""แผน!GQ73"")"),0)</f>
        <v>0</v>
      </c>
      <c r="M528" s="90">
        <v>0</v>
      </c>
      <c r="N528" s="90">
        <f>N529+N530+N531+N532</f>
        <v>0</v>
      </c>
      <c r="O528" s="90">
        <f t="shared" ca="1" si="225"/>
        <v>0</v>
      </c>
      <c r="P528" s="90">
        <f t="shared" si="226"/>
        <v>0</v>
      </c>
      <c r="Q528" s="596"/>
      <c r="R528" s="596"/>
      <c r="S528" s="596"/>
      <c r="T528" s="596"/>
      <c r="U528" s="596"/>
      <c r="V528" s="596"/>
      <c r="W528" s="596"/>
      <c r="X528" s="596"/>
      <c r="Y528" s="596"/>
      <c r="Z528" s="596"/>
    </row>
    <row r="529" spans="1:26" ht="18.75" hidden="1">
      <c r="A529" s="566"/>
      <c r="B529" s="567"/>
      <c r="C529" s="753"/>
      <c r="D529" s="753"/>
      <c r="E529" s="753"/>
      <c r="F529" s="753" t="s">
        <v>186</v>
      </c>
      <c r="G529" s="185"/>
      <c r="H529" s="157" t="s">
        <v>12</v>
      </c>
      <c r="I529" s="264"/>
      <c r="J529" s="264"/>
      <c r="K529" s="495"/>
      <c r="L529" s="495"/>
      <c r="M529" s="495"/>
      <c r="N529" s="816">
        <v>0</v>
      </c>
      <c r="O529" s="495"/>
      <c r="P529" s="495"/>
      <c r="Q529" s="570"/>
      <c r="R529" s="570"/>
      <c r="S529" s="570"/>
      <c r="T529" s="570"/>
      <c r="U529" s="570"/>
      <c r="V529" s="570"/>
      <c r="W529" s="570"/>
      <c r="X529" s="570"/>
      <c r="Y529" s="570"/>
      <c r="Z529" s="570"/>
    </row>
    <row r="530" spans="1:26" ht="18.75" hidden="1">
      <c r="A530" s="566"/>
      <c r="B530" s="567"/>
      <c r="C530" s="753"/>
      <c r="D530" s="753"/>
      <c r="E530" s="753"/>
      <c r="F530" s="753" t="s">
        <v>187</v>
      </c>
      <c r="G530" s="185"/>
      <c r="H530" s="157" t="s">
        <v>12</v>
      </c>
      <c r="I530" s="264"/>
      <c r="J530" s="264"/>
      <c r="K530" s="495"/>
      <c r="L530" s="495"/>
      <c r="M530" s="495"/>
      <c r="N530" s="816">
        <v>0</v>
      </c>
      <c r="O530" s="495"/>
      <c r="P530" s="495"/>
      <c r="Q530" s="570"/>
      <c r="R530" s="570"/>
      <c r="S530" s="570"/>
      <c r="T530" s="570"/>
      <c r="U530" s="570"/>
      <c r="V530" s="570"/>
      <c r="W530" s="570"/>
      <c r="X530" s="570"/>
      <c r="Y530" s="570"/>
      <c r="Z530" s="570"/>
    </row>
    <row r="531" spans="1:26" ht="18.75" hidden="1">
      <c r="A531" s="566"/>
      <c r="B531" s="567"/>
      <c r="C531" s="753"/>
      <c r="D531" s="753"/>
      <c r="E531" s="753"/>
      <c r="F531" s="753" t="s">
        <v>188</v>
      </c>
      <c r="G531" s="185"/>
      <c r="H531" s="157" t="s">
        <v>12</v>
      </c>
      <c r="I531" s="264"/>
      <c r="J531" s="264"/>
      <c r="K531" s="495"/>
      <c r="L531" s="495"/>
      <c r="M531" s="495"/>
      <c r="N531" s="816">
        <v>0</v>
      </c>
      <c r="O531" s="495"/>
      <c r="P531" s="495"/>
      <c r="Q531" s="570"/>
      <c r="R531" s="570"/>
      <c r="S531" s="570"/>
      <c r="T531" s="570"/>
      <c r="U531" s="570"/>
      <c r="V531" s="570"/>
      <c r="W531" s="570"/>
      <c r="X531" s="570"/>
      <c r="Y531" s="570"/>
      <c r="Z531" s="570"/>
    </row>
    <row r="532" spans="1:26" ht="18.75" hidden="1">
      <c r="A532" s="566"/>
      <c r="B532" s="567"/>
      <c r="C532" s="753"/>
      <c r="D532" s="753"/>
      <c r="E532" s="753"/>
      <c r="F532" s="753" t="s">
        <v>189</v>
      </c>
      <c r="G532" s="185"/>
      <c r="H532" s="157" t="s">
        <v>12</v>
      </c>
      <c r="I532" s="264"/>
      <c r="J532" s="264"/>
      <c r="K532" s="495"/>
      <c r="L532" s="495"/>
      <c r="M532" s="495"/>
      <c r="N532" s="816">
        <v>0</v>
      </c>
      <c r="O532" s="495"/>
      <c r="P532" s="495"/>
      <c r="Q532" s="570"/>
      <c r="R532" s="570"/>
      <c r="S532" s="570"/>
      <c r="T532" s="570"/>
      <c r="U532" s="570"/>
      <c r="V532" s="570"/>
      <c r="W532" s="570"/>
      <c r="X532" s="570"/>
      <c r="Y532" s="570"/>
      <c r="Z532" s="570"/>
    </row>
    <row r="533" spans="1:26" ht="18.75" hidden="1">
      <c r="A533" s="589"/>
      <c r="B533" s="567"/>
      <c r="C533" s="753"/>
      <c r="D533" s="598" t="s">
        <v>21</v>
      </c>
      <c r="E533" s="753"/>
      <c r="F533" s="753"/>
      <c r="G533" s="185"/>
      <c r="H533" s="164" t="s">
        <v>12</v>
      </c>
      <c r="I533" s="180"/>
      <c r="J533" s="180"/>
      <c r="K533" s="159"/>
      <c r="L533" s="495">
        <f t="shared" ref="L533:N533" ca="1" si="229">L534+L535</f>
        <v>0</v>
      </c>
      <c r="M533" s="495">
        <f t="shared" si="229"/>
        <v>0</v>
      </c>
      <c r="N533" s="495">
        <f t="shared" si="229"/>
        <v>0</v>
      </c>
      <c r="O533" s="495">
        <f t="shared" ref="O533:O535" ca="1" si="230">IF(L533&gt;0,N533*100/L533,0)</f>
        <v>0</v>
      </c>
      <c r="P533" s="495">
        <f t="shared" ref="P533:P535" si="231">IF(M533&gt;0,N533*100/M533,0)</f>
        <v>0</v>
      </c>
      <c r="Q533" s="570"/>
      <c r="R533" s="570"/>
      <c r="S533" s="570"/>
      <c r="T533" s="570"/>
      <c r="U533" s="570"/>
      <c r="V533" s="570"/>
      <c r="W533" s="570"/>
      <c r="X533" s="570"/>
      <c r="Y533" s="570"/>
      <c r="Z533" s="570"/>
    </row>
    <row r="534" spans="1:26" ht="18.75" hidden="1">
      <c r="A534" s="591"/>
      <c r="B534" s="599"/>
      <c r="C534" s="749"/>
      <c r="D534" s="749"/>
      <c r="E534" s="749" t="s">
        <v>18</v>
      </c>
      <c r="F534" s="749"/>
      <c r="G534" s="595"/>
      <c r="H534" s="161" t="s">
        <v>12</v>
      </c>
      <c r="I534" s="162"/>
      <c r="J534" s="162"/>
      <c r="K534" s="163"/>
      <c r="L534" s="90">
        <v>0</v>
      </c>
      <c r="M534" s="90">
        <v>0</v>
      </c>
      <c r="N534" s="90">
        <v>0</v>
      </c>
      <c r="O534" s="90">
        <f t="shared" si="230"/>
        <v>0</v>
      </c>
      <c r="P534" s="90">
        <f t="shared" si="231"/>
        <v>0</v>
      </c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</row>
    <row r="535" spans="1:26" ht="18.75" hidden="1">
      <c r="A535" s="591"/>
      <c r="B535" s="599"/>
      <c r="C535" s="749"/>
      <c r="D535" s="749"/>
      <c r="E535" s="749" t="s">
        <v>19</v>
      </c>
      <c r="F535" s="749"/>
      <c r="G535" s="595"/>
      <c r="H535" s="165" t="s">
        <v>12</v>
      </c>
      <c r="I535" s="162"/>
      <c r="J535" s="162"/>
      <c r="K535" s="163"/>
      <c r="L535" s="90">
        <f ca="1">IFERROR(__xludf.DUMMYFUNCTION("IMPORTRANGE(""https://docs.google.com/spreadsheets/d/1QqKyyYR6Q21VydFLVH3TRQUabQu_ym0Zz7PgGX0-kHA/edit?usp=sharing"",""แผน!GT73"")"),0)</f>
        <v>0</v>
      </c>
      <c r="M535" s="90">
        <v>0</v>
      </c>
      <c r="N535" s="90">
        <v>0</v>
      </c>
      <c r="O535" s="90">
        <f t="shared" ca="1" si="230"/>
        <v>0</v>
      </c>
      <c r="P535" s="90">
        <f t="shared" si="231"/>
        <v>0</v>
      </c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</row>
    <row r="536" spans="1:26" ht="19.5" hidden="1">
      <c r="A536" s="600"/>
      <c r="B536" s="610"/>
      <c r="C536" s="753" t="s">
        <v>16</v>
      </c>
      <c r="D536" s="841" t="s">
        <v>38</v>
      </c>
      <c r="E536" s="751"/>
      <c r="F536" s="751"/>
      <c r="G536" s="605"/>
      <c r="H536" s="752"/>
      <c r="I536" s="180"/>
      <c r="J536" s="180"/>
      <c r="K536" s="159"/>
      <c r="L536" s="159"/>
      <c r="M536" s="159"/>
      <c r="N536" s="159"/>
      <c r="O536" s="159"/>
      <c r="P536" s="159"/>
      <c r="Q536" s="570"/>
      <c r="R536" s="570"/>
      <c r="S536" s="570"/>
      <c r="T536" s="570"/>
      <c r="U536" s="570"/>
      <c r="V536" s="570"/>
      <c r="W536" s="570"/>
      <c r="X536" s="570"/>
      <c r="Y536" s="570"/>
      <c r="Z536" s="570"/>
    </row>
    <row r="537" spans="1:26" ht="19.5" hidden="1">
      <c r="A537" s="566"/>
      <c r="B537" s="567"/>
      <c r="C537" s="753"/>
      <c r="D537" s="753" t="s">
        <v>227</v>
      </c>
      <c r="E537" s="753"/>
      <c r="F537" s="753"/>
      <c r="G537" s="185"/>
      <c r="H537" s="615" t="s">
        <v>35</v>
      </c>
      <c r="I537" s="673">
        <f ca="1">IFERROR(__xludf.DUMMYFUNCTION("IMPORTRANGE(""https://docs.google.com/spreadsheets/d/1QqKyyYR6Q21VydFLVH3TRQUabQu_ym0Zz7PgGX0-kHA/edit?usp=sharing"",""แผน!GU73"")"),0)</f>
        <v>0</v>
      </c>
      <c r="J537" s="673">
        <f ca="1">IF(AND(J538=I538,J539=I539,J540=I540,J541=I541),I537,0)</f>
        <v>0</v>
      </c>
      <c r="K537" s="495">
        <f t="shared" ref="K537:K543" ca="1" si="232">IF(I537&gt;0,J537*100/I537,0)</f>
        <v>0</v>
      </c>
      <c r="L537" s="495"/>
      <c r="M537" s="495"/>
      <c r="N537" s="495"/>
      <c r="O537" s="495"/>
      <c r="P537" s="495"/>
      <c r="Q537" s="674"/>
      <c r="R537" s="674"/>
      <c r="S537" s="674"/>
      <c r="T537" s="674"/>
      <c r="U537" s="674"/>
      <c r="V537" s="674"/>
      <c r="W537" s="674"/>
      <c r="X537" s="674"/>
      <c r="Y537" s="674"/>
      <c r="Z537" s="674"/>
    </row>
    <row r="538" spans="1:26" ht="18.75" hidden="1">
      <c r="A538" s="566"/>
      <c r="B538" s="567"/>
      <c r="C538" s="753"/>
      <c r="D538" s="753"/>
      <c r="E538" s="753" t="s">
        <v>228</v>
      </c>
      <c r="F538" s="753"/>
      <c r="G538" s="185"/>
      <c r="H538" s="615" t="s">
        <v>35</v>
      </c>
      <c r="I538" s="264">
        <f ca="1">IFERROR(__xludf.DUMMYFUNCTION("IMPORTRANGE(""https://docs.google.com/spreadsheets/d/1QqKyyYR6Q21VydFLVH3TRQUabQu_ym0Zz7PgGX0-kHA/edit?usp=sharing"",""แผน!GV73"")"),0)</f>
        <v>0</v>
      </c>
      <c r="J538" s="210">
        <v>0</v>
      </c>
      <c r="K538" s="495">
        <f t="shared" ca="1" si="232"/>
        <v>0</v>
      </c>
      <c r="L538" s="495"/>
      <c r="M538" s="495"/>
      <c r="N538" s="495"/>
      <c r="O538" s="495"/>
      <c r="P538" s="495"/>
      <c r="Q538" s="674"/>
      <c r="R538" s="674"/>
      <c r="S538" s="674"/>
      <c r="T538" s="674"/>
      <c r="U538" s="674"/>
      <c r="V538" s="674"/>
      <c r="W538" s="674"/>
      <c r="X538" s="674"/>
      <c r="Y538" s="674"/>
      <c r="Z538" s="674"/>
    </row>
    <row r="539" spans="1:26" ht="18.75" hidden="1">
      <c r="A539" s="566"/>
      <c r="B539" s="567"/>
      <c r="C539" s="753"/>
      <c r="D539" s="753"/>
      <c r="E539" s="753" t="s">
        <v>229</v>
      </c>
      <c r="F539" s="753"/>
      <c r="G539" s="185"/>
      <c r="H539" s="615" t="s">
        <v>35</v>
      </c>
      <c r="I539" s="264">
        <f ca="1">IFERROR(__xludf.DUMMYFUNCTION("IMPORTRANGE(""https://docs.google.com/spreadsheets/d/1QqKyyYR6Q21VydFLVH3TRQUabQu_ym0Zz7PgGX0-kHA/edit?usp=sharing"",""แผน!GW73"")"),0)</f>
        <v>0</v>
      </c>
      <c r="J539" s="210">
        <v>0</v>
      </c>
      <c r="K539" s="495">
        <f t="shared" ca="1" si="232"/>
        <v>0</v>
      </c>
      <c r="L539" s="495"/>
      <c r="M539" s="495"/>
      <c r="N539" s="495"/>
      <c r="O539" s="495"/>
      <c r="P539" s="495"/>
      <c r="Q539" s="674"/>
      <c r="R539" s="674"/>
      <c r="S539" s="674"/>
      <c r="T539" s="674"/>
      <c r="U539" s="674"/>
      <c r="V539" s="674"/>
      <c r="W539" s="674"/>
      <c r="X539" s="674"/>
      <c r="Y539" s="674"/>
      <c r="Z539" s="674"/>
    </row>
    <row r="540" spans="1:26" ht="18.75" hidden="1">
      <c r="A540" s="566"/>
      <c r="B540" s="567"/>
      <c r="C540" s="753"/>
      <c r="D540" s="753"/>
      <c r="E540" s="753" t="s">
        <v>230</v>
      </c>
      <c r="F540" s="753"/>
      <c r="G540" s="185"/>
      <c r="H540" s="615" t="s">
        <v>35</v>
      </c>
      <c r="I540" s="264">
        <f ca="1">IFERROR(__xludf.DUMMYFUNCTION("IMPORTRANGE(""https://docs.google.com/spreadsheets/d/1QqKyyYR6Q21VydFLVH3TRQUabQu_ym0Zz7PgGX0-kHA/edit?usp=sharing"",""แผน!GX73"")"),0)</f>
        <v>0</v>
      </c>
      <c r="J540" s="210">
        <v>0</v>
      </c>
      <c r="K540" s="495">
        <f t="shared" ca="1" si="232"/>
        <v>0</v>
      </c>
      <c r="L540" s="495"/>
      <c r="M540" s="495"/>
      <c r="N540" s="495"/>
      <c r="O540" s="495"/>
      <c r="P540" s="495"/>
      <c r="Q540" s="674"/>
      <c r="R540" s="674"/>
      <c r="S540" s="674"/>
      <c r="T540" s="674"/>
      <c r="U540" s="674"/>
      <c r="V540" s="674"/>
      <c r="W540" s="674"/>
      <c r="X540" s="674"/>
      <c r="Y540" s="674"/>
      <c r="Z540" s="674"/>
    </row>
    <row r="541" spans="1:26" ht="18.75" hidden="1">
      <c r="A541" s="566"/>
      <c r="B541" s="567"/>
      <c r="C541" s="753"/>
      <c r="D541" s="753"/>
      <c r="E541" s="759" t="s">
        <v>231</v>
      </c>
      <c r="F541" s="753"/>
      <c r="G541" s="185"/>
      <c r="H541" s="615" t="s">
        <v>35</v>
      </c>
      <c r="I541" s="264">
        <f ca="1">IFERROR(__xludf.DUMMYFUNCTION("IMPORTRANGE(""https://docs.google.com/spreadsheets/d/1QqKyyYR6Q21VydFLVH3TRQUabQu_ym0Zz7PgGX0-kHA/edit?usp=sharing"",""แผน!GY73"")"),0)</f>
        <v>0</v>
      </c>
      <c r="J541" s="210">
        <v>0</v>
      </c>
      <c r="K541" s="495">
        <f t="shared" ca="1" si="232"/>
        <v>0</v>
      </c>
      <c r="L541" s="495"/>
      <c r="M541" s="495"/>
      <c r="N541" s="495"/>
      <c r="O541" s="495"/>
      <c r="P541" s="495"/>
      <c r="Q541" s="674"/>
      <c r="R541" s="674"/>
      <c r="S541" s="674"/>
      <c r="T541" s="674"/>
      <c r="U541" s="674"/>
      <c r="V541" s="674"/>
      <c r="W541" s="674"/>
      <c r="X541" s="674"/>
      <c r="Y541" s="674"/>
      <c r="Z541" s="674"/>
    </row>
    <row r="542" spans="1:26" ht="18.75" hidden="1">
      <c r="A542" s="566"/>
      <c r="B542" s="567"/>
      <c r="C542" s="753"/>
      <c r="D542" s="753" t="s">
        <v>59</v>
      </c>
      <c r="E542" s="753"/>
      <c r="F542" s="753"/>
      <c r="G542" s="185"/>
      <c r="H542" s="615" t="s">
        <v>35</v>
      </c>
      <c r="I542" s="264">
        <f ca="1">IFERROR(__xludf.DUMMYFUNCTION("IMPORTRANGE(""https://docs.google.com/spreadsheets/d/1QqKyyYR6Q21VydFLVH3TRQUabQu_ym0Zz7PgGX0-kHA/edit?usp=sharing"",""แผน!GZ73"")"),0)</f>
        <v>0</v>
      </c>
      <c r="J542" s="210">
        <v>0</v>
      </c>
      <c r="K542" s="495">
        <f t="shared" ca="1" si="232"/>
        <v>0</v>
      </c>
      <c r="L542" s="495"/>
      <c r="M542" s="495"/>
      <c r="N542" s="495"/>
      <c r="O542" s="495"/>
      <c r="P542" s="495"/>
      <c r="Q542" s="674"/>
      <c r="R542" s="674"/>
      <c r="S542" s="674"/>
      <c r="T542" s="674"/>
      <c r="U542" s="674"/>
      <c r="V542" s="674"/>
      <c r="W542" s="674"/>
      <c r="X542" s="674"/>
      <c r="Y542" s="674"/>
      <c r="Z542" s="674"/>
    </row>
    <row r="543" spans="1:26" ht="19.5">
      <c r="A543" s="656">
        <v>6</v>
      </c>
      <c r="B543" s="677" t="s">
        <v>232</v>
      </c>
      <c r="C543" s="659"/>
      <c r="D543" s="659"/>
      <c r="E543" s="659"/>
      <c r="F543" s="659"/>
      <c r="G543" s="660"/>
      <c r="H543" s="678" t="s">
        <v>46</v>
      </c>
      <c r="I543" s="679">
        <f t="shared" ref="I543:J543" ca="1" si="233">I559</f>
        <v>0</v>
      </c>
      <c r="J543" s="679">
        <f t="shared" si="233"/>
        <v>0</v>
      </c>
      <c r="K543" s="680">
        <f t="shared" ca="1" si="232"/>
        <v>0</v>
      </c>
      <c r="L543" s="662"/>
      <c r="M543" s="662"/>
      <c r="N543" s="662"/>
      <c r="O543" s="662"/>
      <c r="P543" s="662"/>
      <c r="Q543" s="570"/>
      <c r="R543" s="570"/>
      <c r="S543" s="570"/>
      <c r="T543" s="570"/>
      <c r="U543" s="570"/>
      <c r="V543" s="570"/>
      <c r="W543" s="570"/>
      <c r="X543" s="570"/>
      <c r="Y543" s="570"/>
      <c r="Z543" s="570"/>
    </row>
    <row r="544" spans="1:26" ht="19.5">
      <c r="A544" s="681"/>
      <c r="B544" s="682"/>
      <c r="C544" s="682" t="s">
        <v>16</v>
      </c>
      <c r="D544" s="870" t="s">
        <v>17</v>
      </c>
      <c r="E544" s="848"/>
      <c r="F544" s="848"/>
      <c r="G544" s="683"/>
      <c r="H544" s="269" t="s">
        <v>12</v>
      </c>
      <c r="I544" s="418"/>
      <c r="J544" s="418"/>
      <c r="K544" s="150"/>
      <c r="L544" s="151">
        <f t="shared" ref="L544:N544" ca="1" si="234">L545+L546</f>
        <v>66000</v>
      </c>
      <c r="M544" s="151">
        <f t="shared" si="234"/>
        <v>0</v>
      </c>
      <c r="N544" s="151">
        <f t="shared" si="234"/>
        <v>0</v>
      </c>
      <c r="O544" s="151">
        <f t="shared" ref="O544:O549" ca="1" si="235">IF(L544&gt;0,N544*100/L544,0)</f>
        <v>0</v>
      </c>
      <c r="P544" s="151">
        <f t="shared" ref="P544:P549" si="236">IF(M544&gt;0,N544*100/M544,0)</f>
        <v>0</v>
      </c>
      <c r="Q544" s="570"/>
      <c r="R544" s="570"/>
      <c r="S544" s="570"/>
      <c r="T544" s="570"/>
      <c r="U544" s="570"/>
      <c r="V544" s="570"/>
      <c r="W544" s="570"/>
      <c r="X544" s="570"/>
      <c r="Y544" s="570"/>
      <c r="Z544" s="570"/>
    </row>
    <row r="545" spans="1:26" ht="18.75" hidden="1">
      <c r="A545" s="591"/>
      <c r="B545" s="749"/>
      <c r="C545" s="749"/>
      <c r="D545" s="749"/>
      <c r="E545" s="749" t="s">
        <v>184</v>
      </c>
      <c r="F545" s="749"/>
      <c r="G545" s="595"/>
      <c r="H545" s="161" t="s">
        <v>12</v>
      </c>
      <c r="I545" s="609"/>
      <c r="J545" s="609"/>
      <c r="K545" s="90"/>
      <c r="L545" s="90">
        <f t="shared" ref="L545:L546" si="237">L548+L556</f>
        <v>0</v>
      </c>
      <c r="M545" s="90">
        <f t="shared" ref="M545:N546" si="238">M548+M555</f>
        <v>0</v>
      </c>
      <c r="N545" s="90">
        <f t="shared" si="238"/>
        <v>0</v>
      </c>
      <c r="O545" s="90">
        <f t="shared" si="235"/>
        <v>0</v>
      </c>
      <c r="P545" s="90">
        <f t="shared" si="236"/>
        <v>0</v>
      </c>
      <c r="Q545" s="596"/>
      <c r="R545" s="596"/>
      <c r="S545" s="596"/>
      <c r="T545" s="596"/>
      <c r="U545" s="596"/>
      <c r="V545" s="596"/>
      <c r="W545" s="596"/>
      <c r="X545" s="596"/>
      <c r="Y545" s="596"/>
      <c r="Z545" s="596"/>
    </row>
    <row r="546" spans="1:26" ht="18.75" hidden="1">
      <c r="A546" s="591"/>
      <c r="B546" s="599"/>
      <c r="C546" s="749"/>
      <c r="D546" s="749"/>
      <c r="E546" s="749" t="s">
        <v>185</v>
      </c>
      <c r="F546" s="749"/>
      <c r="G546" s="595"/>
      <c r="H546" s="161" t="s">
        <v>12</v>
      </c>
      <c r="I546" s="609"/>
      <c r="J546" s="609"/>
      <c r="K546" s="90"/>
      <c r="L546" s="90">
        <f t="shared" ca="1" si="237"/>
        <v>66000</v>
      </c>
      <c r="M546" s="90">
        <f t="shared" si="238"/>
        <v>0</v>
      </c>
      <c r="N546" s="90">
        <f t="shared" si="238"/>
        <v>0</v>
      </c>
      <c r="O546" s="90">
        <f t="shared" ca="1" si="235"/>
        <v>0</v>
      </c>
      <c r="P546" s="90">
        <f t="shared" si="236"/>
        <v>0</v>
      </c>
      <c r="Q546" s="596"/>
      <c r="R546" s="596"/>
      <c r="S546" s="596"/>
      <c r="T546" s="596"/>
      <c r="U546" s="596"/>
      <c r="V546" s="596"/>
      <c r="W546" s="596"/>
      <c r="X546" s="596"/>
      <c r="Y546" s="596"/>
      <c r="Z546" s="596"/>
    </row>
    <row r="547" spans="1:26" ht="18.75">
      <c r="A547" s="589"/>
      <c r="B547" s="567"/>
      <c r="C547" s="753"/>
      <c r="D547" s="598" t="s">
        <v>20</v>
      </c>
      <c r="E547" s="753"/>
      <c r="F547" s="753"/>
      <c r="G547" s="185"/>
      <c r="H547" s="157" t="s">
        <v>12</v>
      </c>
      <c r="I547" s="180"/>
      <c r="J547" s="180"/>
      <c r="K547" s="159"/>
      <c r="L547" s="495">
        <f t="shared" ref="L547:N547" ca="1" si="239">L548+L549</f>
        <v>66000</v>
      </c>
      <c r="M547" s="495">
        <f t="shared" si="239"/>
        <v>0</v>
      </c>
      <c r="N547" s="495">
        <f t="shared" si="239"/>
        <v>0</v>
      </c>
      <c r="O547" s="495">
        <f t="shared" ca="1" si="235"/>
        <v>0</v>
      </c>
      <c r="P547" s="495">
        <f t="shared" si="236"/>
        <v>0</v>
      </c>
      <c r="Q547" s="570"/>
      <c r="R547" s="570"/>
      <c r="S547" s="570"/>
      <c r="T547" s="570"/>
      <c r="U547" s="570"/>
      <c r="V547" s="570"/>
      <c r="W547" s="570"/>
      <c r="X547" s="570"/>
      <c r="Y547" s="570"/>
      <c r="Z547" s="570"/>
    </row>
    <row r="548" spans="1:26" ht="18.75" hidden="1">
      <c r="A548" s="591"/>
      <c r="B548" s="599"/>
      <c r="C548" s="749"/>
      <c r="D548" s="710"/>
      <c r="E548" s="749" t="s">
        <v>184</v>
      </c>
      <c r="F548" s="749"/>
      <c r="G548" s="595"/>
      <c r="H548" s="161" t="s">
        <v>12</v>
      </c>
      <c r="I548" s="609"/>
      <c r="J548" s="609"/>
      <c r="K548" s="90"/>
      <c r="L548" s="90">
        <v>0</v>
      </c>
      <c r="M548" s="90">
        <v>0</v>
      </c>
      <c r="N548" s="90">
        <v>0</v>
      </c>
      <c r="O548" s="90">
        <f t="shared" si="235"/>
        <v>0</v>
      </c>
      <c r="P548" s="90">
        <f t="shared" si="236"/>
        <v>0</v>
      </c>
      <c r="Q548" s="596"/>
      <c r="R548" s="596"/>
      <c r="S548" s="596"/>
      <c r="T548" s="596"/>
      <c r="U548" s="596"/>
      <c r="V548" s="596"/>
      <c r="W548" s="596"/>
      <c r="X548" s="596"/>
      <c r="Y548" s="596"/>
      <c r="Z548" s="596"/>
    </row>
    <row r="549" spans="1:26" ht="18.75" hidden="1">
      <c r="A549" s="591"/>
      <c r="B549" s="599"/>
      <c r="C549" s="749"/>
      <c r="D549" s="710"/>
      <c r="E549" s="749" t="s">
        <v>185</v>
      </c>
      <c r="F549" s="749"/>
      <c r="G549" s="595"/>
      <c r="H549" s="161" t="s">
        <v>12</v>
      </c>
      <c r="I549" s="609"/>
      <c r="J549" s="609"/>
      <c r="K549" s="90"/>
      <c r="L549" s="90">
        <f ca="1">IFERROR(__xludf.DUMMYFUNCTION("IMPORTRANGE(""https://docs.google.com/spreadsheets/d/1QqKyyYR6Q21VydFLVH3TRQUabQu_ym0Zz7PgGX0-kHA/edit?usp=sharing"",""แผน!HB73"")"),66000)</f>
        <v>66000</v>
      </c>
      <c r="M549" s="90">
        <v>0</v>
      </c>
      <c r="N549" s="90">
        <f>N550+N551+N552+N553+N554</f>
        <v>0</v>
      </c>
      <c r="O549" s="90">
        <f t="shared" ca="1" si="235"/>
        <v>0</v>
      </c>
      <c r="P549" s="90">
        <f t="shared" si="236"/>
        <v>0</v>
      </c>
      <c r="Q549" s="596"/>
      <c r="R549" s="596"/>
      <c r="S549" s="596"/>
      <c r="T549" s="596"/>
      <c r="U549" s="596"/>
      <c r="V549" s="596"/>
      <c r="W549" s="596"/>
      <c r="X549" s="596"/>
      <c r="Y549" s="596"/>
      <c r="Z549" s="596"/>
    </row>
    <row r="550" spans="1:26" ht="18.75">
      <c r="A550" s="566"/>
      <c r="B550" s="567"/>
      <c r="C550" s="753"/>
      <c r="D550" s="753"/>
      <c r="E550" s="753"/>
      <c r="F550" s="753" t="s">
        <v>186</v>
      </c>
      <c r="G550" s="185"/>
      <c r="H550" s="157" t="s">
        <v>12</v>
      </c>
      <c r="I550" s="264"/>
      <c r="J550" s="264"/>
      <c r="K550" s="495"/>
      <c r="L550" s="495"/>
      <c r="M550" s="495"/>
      <c r="N550" s="816">
        <v>0</v>
      </c>
      <c r="O550" s="495"/>
      <c r="P550" s="495"/>
      <c r="Q550" s="570"/>
      <c r="R550" s="570"/>
      <c r="S550" s="570"/>
      <c r="T550" s="570"/>
      <c r="U550" s="570"/>
      <c r="V550" s="570"/>
      <c r="W550" s="570"/>
      <c r="X550" s="570"/>
      <c r="Y550" s="570"/>
      <c r="Z550" s="570"/>
    </row>
    <row r="551" spans="1:26" ht="18.75">
      <c r="A551" s="566"/>
      <c r="B551" s="567"/>
      <c r="C551" s="567"/>
      <c r="D551" s="567"/>
      <c r="E551" s="753"/>
      <c r="F551" s="753" t="s">
        <v>187</v>
      </c>
      <c r="G551" s="185"/>
      <c r="H551" s="157" t="s">
        <v>12</v>
      </c>
      <c r="I551" s="264"/>
      <c r="J551" s="264"/>
      <c r="K551" s="495"/>
      <c r="L551" s="495"/>
      <c r="M551" s="495"/>
      <c r="N551" s="816">
        <v>0</v>
      </c>
      <c r="O551" s="495"/>
      <c r="P551" s="495"/>
      <c r="Q551" s="570"/>
      <c r="R551" s="570"/>
      <c r="S551" s="570"/>
      <c r="T551" s="570"/>
      <c r="U551" s="570"/>
      <c r="V551" s="570"/>
      <c r="W551" s="570"/>
      <c r="X551" s="570"/>
      <c r="Y551" s="570"/>
      <c r="Z551" s="570"/>
    </row>
    <row r="552" spans="1:26" ht="18.75">
      <c r="A552" s="566"/>
      <c r="B552" s="567"/>
      <c r="C552" s="753"/>
      <c r="D552" s="753"/>
      <c r="E552" s="753"/>
      <c r="F552" s="753" t="s">
        <v>188</v>
      </c>
      <c r="G552" s="185"/>
      <c r="H552" s="157" t="s">
        <v>12</v>
      </c>
      <c r="I552" s="264"/>
      <c r="J552" s="264"/>
      <c r="K552" s="495"/>
      <c r="L552" s="495"/>
      <c r="M552" s="495"/>
      <c r="N552" s="816">
        <v>0</v>
      </c>
      <c r="O552" s="495"/>
      <c r="P552" s="495"/>
      <c r="Q552" s="570"/>
      <c r="R552" s="570"/>
      <c r="S552" s="570"/>
      <c r="T552" s="570"/>
      <c r="U552" s="570"/>
      <c r="V552" s="570"/>
      <c r="W552" s="570"/>
      <c r="X552" s="570"/>
      <c r="Y552" s="570"/>
      <c r="Z552" s="570"/>
    </row>
    <row r="553" spans="1:26" ht="18.75">
      <c r="A553" s="566"/>
      <c r="B553" s="567"/>
      <c r="C553" s="567"/>
      <c r="D553" s="567"/>
      <c r="E553" s="753"/>
      <c r="F553" s="753" t="s">
        <v>189</v>
      </c>
      <c r="G553" s="185"/>
      <c r="H553" s="157" t="s">
        <v>12</v>
      </c>
      <c r="I553" s="264"/>
      <c r="J553" s="264"/>
      <c r="K553" s="495"/>
      <c r="L553" s="495"/>
      <c r="M553" s="495"/>
      <c r="N553" s="816">
        <v>0</v>
      </c>
      <c r="O553" s="495"/>
      <c r="P553" s="495"/>
      <c r="Q553" s="570"/>
      <c r="R553" s="570"/>
      <c r="S553" s="570"/>
      <c r="T553" s="570"/>
      <c r="U553" s="570"/>
      <c r="V553" s="570"/>
      <c r="W553" s="570"/>
      <c r="X553" s="570"/>
      <c r="Y553" s="570"/>
      <c r="Z553" s="570"/>
    </row>
    <row r="554" spans="1:26" ht="18.75">
      <c r="A554" s="566"/>
      <c r="B554" s="567"/>
      <c r="C554" s="567"/>
      <c r="D554" s="567"/>
      <c r="E554" s="753"/>
      <c r="F554" s="753" t="s">
        <v>233</v>
      </c>
      <c r="G554" s="185"/>
      <c r="H554" s="157" t="s">
        <v>12</v>
      </c>
      <c r="I554" s="264"/>
      <c r="J554" s="264"/>
      <c r="K554" s="495"/>
      <c r="L554" s="495"/>
      <c r="M554" s="495"/>
      <c r="N554" s="816">
        <v>0</v>
      </c>
      <c r="O554" s="495"/>
      <c r="P554" s="495"/>
      <c r="Q554" s="570"/>
      <c r="R554" s="570"/>
      <c r="S554" s="570"/>
      <c r="T554" s="570"/>
      <c r="U554" s="570"/>
      <c r="V554" s="570"/>
      <c r="W554" s="570"/>
      <c r="X554" s="570"/>
      <c r="Y554" s="570"/>
      <c r="Z554" s="570"/>
    </row>
    <row r="555" spans="1:26" ht="18.75">
      <c r="A555" s="589"/>
      <c r="B555" s="567"/>
      <c r="C555" s="567"/>
      <c r="D555" s="598" t="s">
        <v>21</v>
      </c>
      <c r="E555" s="753"/>
      <c r="F555" s="753"/>
      <c r="G555" s="185"/>
      <c r="H555" s="164" t="s">
        <v>12</v>
      </c>
      <c r="I555" s="180"/>
      <c r="J555" s="180"/>
      <c r="K555" s="159"/>
      <c r="L555" s="495">
        <f t="shared" ref="L555:N555" ca="1" si="240">L556+L557</f>
        <v>0</v>
      </c>
      <c r="M555" s="495">
        <f t="shared" si="240"/>
        <v>0</v>
      </c>
      <c r="N555" s="495">
        <f t="shared" si="240"/>
        <v>0</v>
      </c>
      <c r="O555" s="495">
        <f t="shared" ref="O555:O557" ca="1" si="241">IF(L555&gt;0,N555*100/L555,0)</f>
        <v>0</v>
      </c>
      <c r="P555" s="495">
        <f t="shared" ref="P555:P557" si="242">IF(M555&gt;0,N555*100/M555,0)</f>
        <v>0</v>
      </c>
      <c r="Q555" s="570"/>
      <c r="R555" s="570"/>
      <c r="S555" s="570"/>
      <c r="T555" s="570"/>
      <c r="U555" s="570"/>
      <c r="V555" s="570"/>
      <c r="W555" s="570"/>
      <c r="X555" s="570"/>
      <c r="Y555" s="570"/>
      <c r="Z555" s="570"/>
    </row>
    <row r="556" spans="1:26" ht="18.75" hidden="1">
      <c r="A556" s="591"/>
      <c r="B556" s="599"/>
      <c r="C556" s="599"/>
      <c r="D556" s="749"/>
      <c r="E556" s="749" t="s">
        <v>18</v>
      </c>
      <c r="F556" s="749"/>
      <c r="G556" s="595"/>
      <c r="H556" s="161" t="s">
        <v>12</v>
      </c>
      <c r="I556" s="162"/>
      <c r="J556" s="162"/>
      <c r="K556" s="163"/>
      <c r="L556" s="90">
        <v>0</v>
      </c>
      <c r="M556" s="90">
        <v>0</v>
      </c>
      <c r="N556" s="90">
        <v>0</v>
      </c>
      <c r="O556" s="90">
        <f t="shared" si="241"/>
        <v>0</v>
      </c>
      <c r="P556" s="90">
        <f t="shared" si="242"/>
        <v>0</v>
      </c>
      <c r="Q556" s="596"/>
      <c r="R556" s="596"/>
      <c r="S556" s="596"/>
      <c r="T556" s="596"/>
      <c r="U556" s="596"/>
      <c r="V556" s="596"/>
      <c r="W556" s="596"/>
      <c r="X556" s="596"/>
      <c r="Y556" s="596"/>
      <c r="Z556" s="596"/>
    </row>
    <row r="557" spans="1:26" ht="18.75" hidden="1">
      <c r="A557" s="591"/>
      <c r="B557" s="599"/>
      <c r="C557" s="599"/>
      <c r="D557" s="749"/>
      <c r="E557" s="749" t="s">
        <v>19</v>
      </c>
      <c r="F557" s="749"/>
      <c r="G557" s="595"/>
      <c r="H557" s="165" t="s">
        <v>12</v>
      </c>
      <c r="I557" s="162"/>
      <c r="J557" s="162"/>
      <c r="K557" s="163"/>
      <c r="L557" s="90">
        <f ca="1">IFERROR(__xludf.DUMMYFUNCTION("IMPORTRANGE(""https://docs.google.com/spreadsheets/d/1QqKyyYR6Q21VydFLVH3TRQUabQu_ym0Zz7PgGX0-kHA/edit?usp=sharing"",""แผน!HF73"")"),0)</f>
        <v>0</v>
      </c>
      <c r="M557" s="90">
        <v>0</v>
      </c>
      <c r="N557" s="90">
        <v>0</v>
      </c>
      <c r="O557" s="90">
        <f t="shared" ca="1" si="241"/>
        <v>0</v>
      </c>
      <c r="P557" s="90">
        <f t="shared" si="242"/>
        <v>0</v>
      </c>
      <c r="Q557" s="596"/>
      <c r="R557" s="596"/>
      <c r="S557" s="596"/>
      <c r="T557" s="596"/>
      <c r="U557" s="596"/>
      <c r="V557" s="596"/>
      <c r="W557" s="596"/>
      <c r="X557" s="596"/>
      <c r="Y557" s="596"/>
      <c r="Z557" s="596"/>
    </row>
    <row r="558" spans="1:26" ht="19.5" hidden="1">
      <c r="A558" s="600"/>
      <c r="B558" s="610"/>
      <c r="C558" s="567" t="s">
        <v>16</v>
      </c>
      <c r="D558" s="841" t="s">
        <v>38</v>
      </c>
      <c r="E558" s="751"/>
      <c r="F558" s="751"/>
      <c r="G558" s="605"/>
      <c r="H558" s="752"/>
      <c r="I558" s="180"/>
      <c r="J558" s="180"/>
      <c r="K558" s="159"/>
      <c r="L558" s="159"/>
      <c r="M558" s="159"/>
      <c r="N558" s="159"/>
      <c r="O558" s="159"/>
      <c r="P558" s="159"/>
      <c r="Q558" s="570"/>
      <c r="R558" s="570"/>
      <c r="S558" s="570"/>
      <c r="T558" s="570"/>
      <c r="U558" s="570"/>
      <c r="V558" s="570"/>
      <c r="W558" s="570"/>
      <c r="X558" s="570"/>
      <c r="Y558" s="570"/>
      <c r="Z558" s="570"/>
    </row>
    <row r="559" spans="1:26" ht="19.5" hidden="1">
      <c r="A559" s="684"/>
      <c r="B559" s="685" t="s">
        <v>234</v>
      </c>
      <c r="C559" s="686"/>
      <c r="D559" s="686"/>
      <c r="E559" s="665"/>
      <c r="F559" s="665"/>
      <c r="G559" s="666"/>
      <c r="H559" s="687" t="s">
        <v>46</v>
      </c>
      <c r="I559" s="698">
        <f t="shared" ref="I559:J559" ca="1" si="243">I576</f>
        <v>0</v>
      </c>
      <c r="J559" s="698">
        <f t="shared" si="243"/>
        <v>0</v>
      </c>
      <c r="K559" s="669">
        <f t="shared" ref="K559:K561" ca="1" si="244">IF(I559&gt;0,J559*100/I559,0)</f>
        <v>0</v>
      </c>
      <c r="L559" s="670"/>
      <c r="M559" s="670"/>
      <c r="N559" s="670"/>
      <c r="O559" s="670"/>
      <c r="P559" s="670"/>
      <c r="Q559" s="570"/>
      <c r="R559" s="570"/>
      <c r="S559" s="570"/>
      <c r="T559" s="570"/>
      <c r="U559" s="570"/>
      <c r="V559" s="570"/>
      <c r="W559" s="570"/>
      <c r="X559" s="570"/>
      <c r="Y559" s="570"/>
      <c r="Z559" s="570"/>
    </row>
    <row r="560" spans="1:26" ht="19.5" hidden="1">
      <c r="A560" s="600"/>
      <c r="B560" s="610"/>
      <c r="C560" s="617" t="s">
        <v>235</v>
      </c>
      <c r="D560" s="610"/>
      <c r="E560" s="618"/>
      <c r="F560" s="618"/>
      <c r="G560" s="752"/>
      <c r="H560" s="757" t="s">
        <v>46</v>
      </c>
      <c r="I560" s="189">
        <f ca="1">IFERROR(__xludf.DUMMYFUNCTION("IMPORTRANGE(""https://docs.google.com/spreadsheets/d/1QqKyyYR6Q21VydFLVH3TRQUabQu_ym0Zz7PgGX0-kHA/edit?usp=sharing"",""แผน!HH73"")"),0)</f>
        <v>0</v>
      </c>
      <c r="J560" s="189">
        <f t="shared" ref="J560:J561" si="245">J562+J564+J566</f>
        <v>0</v>
      </c>
      <c r="K560" s="409">
        <f t="shared" ca="1" si="244"/>
        <v>0</v>
      </c>
      <c r="L560" s="159"/>
      <c r="M560" s="159"/>
      <c r="N560" s="159"/>
      <c r="O560" s="159"/>
      <c r="P560" s="159"/>
      <c r="Q560" s="570"/>
      <c r="R560" s="570"/>
      <c r="S560" s="570"/>
      <c r="T560" s="570"/>
      <c r="U560" s="570"/>
      <c r="V560" s="570"/>
      <c r="W560" s="570"/>
      <c r="X560" s="570"/>
      <c r="Y560" s="570"/>
      <c r="Z560" s="570"/>
    </row>
    <row r="561" spans="1:26" ht="19.5" hidden="1">
      <c r="A561" s="600"/>
      <c r="B561" s="610"/>
      <c r="C561" s="610"/>
      <c r="D561" s="618"/>
      <c r="E561" s="618"/>
      <c r="F561" s="618"/>
      <c r="G561" s="752"/>
      <c r="H561" s="757" t="s">
        <v>34</v>
      </c>
      <c r="I561" s="189">
        <f ca="1">IFERROR(__xludf.DUMMYFUNCTION("IMPORTRANGE(""https://docs.google.com/spreadsheets/d/1QqKyyYR6Q21VydFLVH3TRQUabQu_ym0Zz7PgGX0-kHA/edit?usp=sharing"",""แผน!HG73"")"),0)</f>
        <v>0</v>
      </c>
      <c r="J561" s="189">
        <f t="shared" si="245"/>
        <v>0</v>
      </c>
      <c r="K561" s="409">
        <f t="shared" ca="1" si="244"/>
        <v>0</v>
      </c>
      <c r="L561" s="159"/>
      <c r="M561" s="159"/>
      <c r="N561" s="159"/>
      <c r="O561" s="159"/>
      <c r="P561" s="159"/>
      <c r="Q561" s="570"/>
      <c r="R561" s="570"/>
      <c r="S561" s="570"/>
      <c r="T561" s="570"/>
      <c r="U561" s="570"/>
      <c r="V561" s="570"/>
      <c r="W561" s="570"/>
      <c r="X561" s="570"/>
      <c r="Y561" s="570"/>
      <c r="Z561" s="570"/>
    </row>
    <row r="562" spans="1:26" ht="18.75" hidden="1">
      <c r="A562" s="600"/>
      <c r="B562" s="610"/>
      <c r="C562" s="610"/>
      <c r="D562" s="618" t="s">
        <v>236</v>
      </c>
      <c r="E562" s="618"/>
      <c r="F562" s="618"/>
      <c r="G562" s="752"/>
      <c r="H562" s="754" t="s">
        <v>46</v>
      </c>
      <c r="I562" s="180"/>
      <c r="J562" s="210">
        <v>0</v>
      </c>
      <c r="K562" s="159"/>
      <c r="L562" s="159"/>
      <c r="M562" s="159"/>
      <c r="N562" s="159"/>
      <c r="O562" s="159"/>
      <c r="P562" s="159"/>
      <c r="Q562" s="570"/>
      <c r="R562" s="570"/>
      <c r="S562" s="570"/>
      <c r="T562" s="570"/>
      <c r="U562" s="570"/>
      <c r="V562" s="570"/>
      <c r="W562" s="570"/>
      <c r="X562" s="570"/>
      <c r="Y562" s="570"/>
      <c r="Z562" s="570"/>
    </row>
    <row r="563" spans="1:26" ht="18.75" hidden="1">
      <c r="A563" s="600"/>
      <c r="B563" s="610"/>
      <c r="C563" s="610"/>
      <c r="D563" s="610"/>
      <c r="E563" s="618"/>
      <c r="F563" s="618"/>
      <c r="G563" s="752"/>
      <c r="H563" s="754" t="s">
        <v>34</v>
      </c>
      <c r="I563" s="180"/>
      <c r="J563" s="210">
        <v>0</v>
      </c>
      <c r="K563" s="159"/>
      <c r="L563" s="159"/>
      <c r="M563" s="159"/>
      <c r="N563" s="159"/>
      <c r="O563" s="159"/>
      <c r="P563" s="159"/>
      <c r="Q563" s="570"/>
      <c r="R563" s="570"/>
      <c r="S563" s="570"/>
      <c r="T563" s="570"/>
      <c r="U563" s="570"/>
      <c r="V563" s="570"/>
      <c r="W563" s="570"/>
      <c r="X563" s="570"/>
      <c r="Y563" s="570"/>
      <c r="Z563" s="570"/>
    </row>
    <row r="564" spans="1:26" ht="18.75" hidden="1">
      <c r="A564" s="600"/>
      <c r="B564" s="610"/>
      <c r="C564" s="610"/>
      <c r="D564" s="618" t="s">
        <v>237</v>
      </c>
      <c r="E564" s="618"/>
      <c r="F564" s="618"/>
      <c r="G564" s="752"/>
      <c r="H564" s="754" t="s">
        <v>46</v>
      </c>
      <c r="I564" s="180"/>
      <c r="J564" s="210">
        <v>0</v>
      </c>
      <c r="K564" s="159"/>
      <c r="L564" s="159"/>
      <c r="M564" s="159"/>
      <c r="N564" s="159"/>
      <c r="O564" s="159"/>
      <c r="P564" s="159"/>
      <c r="Q564" s="570"/>
      <c r="R564" s="570"/>
      <c r="S564" s="570"/>
      <c r="T564" s="570"/>
      <c r="U564" s="570"/>
      <c r="V564" s="570"/>
      <c r="W564" s="570"/>
      <c r="X564" s="570"/>
      <c r="Y564" s="570"/>
      <c r="Z564" s="570"/>
    </row>
    <row r="565" spans="1:26" ht="18.75" hidden="1">
      <c r="A565" s="600"/>
      <c r="B565" s="610"/>
      <c r="C565" s="610"/>
      <c r="D565" s="618"/>
      <c r="E565" s="618"/>
      <c r="F565" s="618"/>
      <c r="G565" s="752"/>
      <c r="H565" s="754" t="s">
        <v>34</v>
      </c>
      <c r="I565" s="180"/>
      <c r="J565" s="210">
        <v>0</v>
      </c>
      <c r="K565" s="159"/>
      <c r="L565" s="159"/>
      <c r="M565" s="159"/>
      <c r="N565" s="159"/>
      <c r="O565" s="159"/>
      <c r="P565" s="159"/>
      <c r="Q565" s="570"/>
      <c r="R565" s="570"/>
      <c r="S565" s="570"/>
      <c r="T565" s="570"/>
      <c r="U565" s="570"/>
      <c r="V565" s="570"/>
      <c r="W565" s="570"/>
      <c r="X565" s="570"/>
      <c r="Y565" s="570"/>
      <c r="Z565" s="570"/>
    </row>
    <row r="566" spans="1:26" ht="18.75" hidden="1">
      <c r="A566" s="600"/>
      <c r="B566" s="610"/>
      <c r="C566" s="610"/>
      <c r="D566" s="618" t="s">
        <v>238</v>
      </c>
      <c r="E566" s="618"/>
      <c r="F566" s="618"/>
      <c r="G566" s="752"/>
      <c r="H566" s="754" t="s">
        <v>46</v>
      </c>
      <c r="I566" s="180"/>
      <c r="J566" s="210">
        <v>0</v>
      </c>
      <c r="K566" s="159"/>
      <c r="L566" s="159"/>
      <c r="M566" s="159"/>
      <c r="N566" s="159"/>
      <c r="O566" s="159"/>
      <c r="P566" s="159"/>
      <c r="Q566" s="570"/>
      <c r="R566" s="570"/>
      <c r="S566" s="570"/>
      <c r="T566" s="570"/>
      <c r="U566" s="570"/>
      <c r="V566" s="570"/>
      <c r="W566" s="570"/>
      <c r="X566" s="570"/>
      <c r="Y566" s="570"/>
      <c r="Z566" s="570"/>
    </row>
    <row r="567" spans="1:26" ht="18.75" hidden="1">
      <c r="A567" s="600"/>
      <c r="B567" s="610"/>
      <c r="C567" s="610"/>
      <c r="D567" s="618"/>
      <c r="E567" s="618"/>
      <c r="F567" s="618"/>
      <c r="G567" s="752"/>
      <c r="H567" s="754" t="s">
        <v>34</v>
      </c>
      <c r="I567" s="180"/>
      <c r="J567" s="210">
        <v>0</v>
      </c>
      <c r="K567" s="159"/>
      <c r="L567" s="159"/>
      <c r="M567" s="159"/>
      <c r="N567" s="159"/>
      <c r="O567" s="159"/>
      <c r="P567" s="159"/>
      <c r="Q567" s="570"/>
      <c r="R567" s="570"/>
      <c r="S567" s="570"/>
      <c r="T567" s="570"/>
      <c r="U567" s="570"/>
      <c r="V567" s="570"/>
      <c r="W567" s="570"/>
      <c r="X567" s="570"/>
      <c r="Y567" s="570"/>
      <c r="Z567" s="570"/>
    </row>
    <row r="568" spans="1:26" ht="19.5" hidden="1">
      <c r="A568" s="600"/>
      <c r="B568" s="610"/>
      <c r="C568" s="617" t="s">
        <v>239</v>
      </c>
      <c r="D568" s="618"/>
      <c r="E568" s="618"/>
      <c r="F568" s="618"/>
      <c r="G568" s="752"/>
      <c r="H568" s="757" t="s">
        <v>46</v>
      </c>
      <c r="I568" s="189">
        <f ca="1">IFERROR(__xludf.DUMMYFUNCTION("IMPORTRANGE(""https://docs.google.com/spreadsheets/d/1QqKyyYR6Q21VydFLVH3TRQUabQu_ym0Zz7PgGX0-kHA/edit?usp=sharing"",""แผน!HH73"")"),0)</f>
        <v>0</v>
      </c>
      <c r="J568" s="673">
        <f t="shared" ref="J568:J569" si="246">J570+J572+J574</f>
        <v>0</v>
      </c>
      <c r="K568" s="409">
        <f t="shared" ref="K568:K569" ca="1" si="247">IF(I568&gt;0,J568*100/I568,0)</f>
        <v>0</v>
      </c>
      <c r="L568" s="159"/>
      <c r="M568" s="159"/>
      <c r="N568" s="159"/>
      <c r="O568" s="159"/>
      <c r="P568" s="159"/>
      <c r="Q568" s="570"/>
      <c r="R568" s="570"/>
      <c r="S568" s="570"/>
      <c r="T568" s="570"/>
      <c r="U568" s="570"/>
      <c r="V568" s="570"/>
      <c r="W568" s="570"/>
      <c r="X568" s="570"/>
      <c r="Y568" s="570"/>
      <c r="Z568" s="570"/>
    </row>
    <row r="569" spans="1:26" ht="19.5" hidden="1">
      <c r="A569" s="600"/>
      <c r="B569" s="610"/>
      <c r="C569" s="610"/>
      <c r="D569" s="610"/>
      <c r="E569" s="618"/>
      <c r="F569" s="618"/>
      <c r="G569" s="752"/>
      <c r="H569" s="757" t="s">
        <v>34</v>
      </c>
      <c r="I569" s="189">
        <f ca="1">IFERROR(__xludf.DUMMYFUNCTION("IMPORTRANGE(""https://docs.google.com/spreadsheets/d/1QqKyyYR6Q21VydFLVH3TRQUabQu_ym0Zz7PgGX0-kHA/edit?usp=sharing"",""แผน!HG73"")"),0)</f>
        <v>0</v>
      </c>
      <c r="J569" s="673">
        <f t="shared" si="246"/>
        <v>0</v>
      </c>
      <c r="K569" s="409">
        <f t="shared" ca="1" si="247"/>
        <v>0</v>
      </c>
      <c r="L569" s="159"/>
      <c r="M569" s="159"/>
      <c r="N569" s="159"/>
      <c r="O569" s="159"/>
      <c r="P569" s="159"/>
      <c r="Q569" s="570"/>
      <c r="R569" s="570"/>
      <c r="S569" s="570"/>
      <c r="T569" s="570"/>
      <c r="U569" s="570"/>
      <c r="V569" s="570"/>
      <c r="W569" s="570"/>
      <c r="X569" s="570"/>
      <c r="Y569" s="570"/>
      <c r="Z569" s="570"/>
    </row>
    <row r="570" spans="1:26" ht="18.75" hidden="1">
      <c r="A570" s="600"/>
      <c r="B570" s="610"/>
      <c r="C570" s="610"/>
      <c r="D570" s="618" t="s">
        <v>240</v>
      </c>
      <c r="E570" s="610"/>
      <c r="F570" s="618"/>
      <c r="G570" s="752"/>
      <c r="H570" s="754" t="s">
        <v>46</v>
      </c>
      <c r="I570" s="180"/>
      <c r="J570" s="210">
        <v>0</v>
      </c>
      <c r="K570" s="159"/>
      <c r="L570" s="159"/>
      <c r="M570" s="159"/>
      <c r="N570" s="159"/>
      <c r="O570" s="159"/>
      <c r="P570" s="159"/>
      <c r="Q570" s="570"/>
      <c r="R570" s="570"/>
      <c r="S570" s="570"/>
      <c r="T570" s="570"/>
      <c r="U570" s="570"/>
      <c r="V570" s="570"/>
      <c r="W570" s="570"/>
      <c r="X570" s="570"/>
      <c r="Y570" s="570"/>
      <c r="Z570" s="570"/>
    </row>
    <row r="571" spans="1:26" ht="18.75" hidden="1">
      <c r="A571" s="600"/>
      <c r="B571" s="610"/>
      <c r="C571" s="610"/>
      <c r="D571" s="610"/>
      <c r="E571" s="618"/>
      <c r="F571" s="618"/>
      <c r="G571" s="752"/>
      <c r="H571" s="754" t="s">
        <v>34</v>
      </c>
      <c r="I571" s="180"/>
      <c r="J571" s="210">
        <v>0</v>
      </c>
      <c r="K571" s="159"/>
      <c r="L571" s="159"/>
      <c r="M571" s="159"/>
      <c r="N571" s="159"/>
      <c r="O571" s="159"/>
      <c r="P571" s="159"/>
      <c r="Q571" s="570"/>
      <c r="R571" s="570"/>
      <c r="S571" s="570"/>
      <c r="T571" s="570"/>
      <c r="U571" s="570"/>
      <c r="V571" s="570"/>
      <c r="W571" s="570"/>
      <c r="X571" s="570"/>
      <c r="Y571" s="570"/>
      <c r="Z571" s="570"/>
    </row>
    <row r="572" spans="1:26" ht="18.75" hidden="1">
      <c r="A572" s="600"/>
      <c r="B572" s="610"/>
      <c r="C572" s="610"/>
      <c r="D572" s="618" t="s">
        <v>241</v>
      </c>
      <c r="E572" s="618"/>
      <c r="F572" s="618"/>
      <c r="G572" s="752"/>
      <c r="H572" s="754" t="s">
        <v>46</v>
      </c>
      <c r="I572" s="180"/>
      <c r="J572" s="210">
        <v>0</v>
      </c>
      <c r="K572" s="159"/>
      <c r="L572" s="159"/>
      <c r="M572" s="159"/>
      <c r="N572" s="159"/>
      <c r="O572" s="159"/>
      <c r="P572" s="159"/>
      <c r="Q572" s="570"/>
      <c r="R572" s="570"/>
      <c r="S572" s="570"/>
      <c r="T572" s="570"/>
      <c r="U572" s="570"/>
      <c r="V572" s="570"/>
      <c r="W572" s="570"/>
      <c r="X572" s="570"/>
      <c r="Y572" s="570"/>
      <c r="Z572" s="570"/>
    </row>
    <row r="573" spans="1:26" ht="18.75" hidden="1">
      <c r="A573" s="600"/>
      <c r="B573" s="610"/>
      <c r="C573" s="610"/>
      <c r="D573" s="618"/>
      <c r="E573" s="618"/>
      <c r="F573" s="618"/>
      <c r="G573" s="752"/>
      <c r="H573" s="754" t="s">
        <v>34</v>
      </c>
      <c r="I573" s="180"/>
      <c r="J573" s="210">
        <v>0</v>
      </c>
      <c r="K573" s="159"/>
      <c r="L573" s="159"/>
      <c r="M573" s="159"/>
      <c r="N573" s="159"/>
      <c r="O573" s="159"/>
      <c r="P573" s="159"/>
      <c r="Q573" s="570"/>
      <c r="R573" s="570"/>
      <c r="S573" s="570"/>
      <c r="T573" s="570"/>
      <c r="U573" s="570"/>
      <c r="V573" s="570"/>
      <c r="W573" s="570"/>
      <c r="X573" s="570"/>
      <c r="Y573" s="570"/>
      <c r="Z573" s="570"/>
    </row>
    <row r="574" spans="1:26" ht="18.75" hidden="1">
      <c r="A574" s="600"/>
      <c r="B574" s="610"/>
      <c r="C574" s="610"/>
      <c r="D574" s="618" t="s">
        <v>242</v>
      </c>
      <c r="E574" s="618"/>
      <c r="F574" s="618"/>
      <c r="G574" s="752"/>
      <c r="H574" s="754" t="s">
        <v>46</v>
      </c>
      <c r="I574" s="180"/>
      <c r="J574" s="210">
        <v>0</v>
      </c>
      <c r="K574" s="159"/>
      <c r="L574" s="159"/>
      <c r="M574" s="159"/>
      <c r="N574" s="159"/>
      <c r="O574" s="159"/>
      <c r="P574" s="159"/>
      <c r="Q574" s="570"/>
      <c r="R574" s="570"/>
      <c r="S574" s="570"/>
      <c r="T574" s="570"/>
      <c r="U574" s="570"/>
      <c r="V574" s="570"/>
      <c r="W574" s="570"/>
      <c r="X574" s="570"/>
      <c r="Y574" s="570"/>
      <c r="Z574" s="570"/>
    </row>
    <row r="575" spans="1:26" ht="18.75" hidden="1">
      <c r="A575" s="600"/>
      <c r="B575" s="610"/>
      <c r="C575" s="610"/>
      <c r="D575" s="610"/>
      <c r="E575" s="618"/>
      <c r="F575" s="618"/>
      <c r="G575" s="752"/>
      <c r="H575" s="754" t="s">
        <v>34</v>
      </c>
      <c r="I575" s="180"/>
      <c r="J575" s="210">
        <v>0</v>
      </c>
      <c r="K575" s="159"/>
      <c r="L575" s="159"/>
      <c r="M575" s="159"/>
      <c r="N575" s="159"/>
      <c r="O575" s="159"/>
      <c r="P575" s="159"/>
      <c r="Q575" s="570"/>
      <c r="R575" s="570"/>
      <c r="S575" s="570"/>
      <c r="T575" s="570"/>
      <c r="U575" s="570"/>
      <c r="V575" s="570"/>
      <c r="W575" s="570"/>
      <c r="X575" s="570"/>
      <c r="Y575" s="570"/>
      <c r="Z575" s="570"/>
    </row>
    <row r="576" spans="1:26" ht="19.5" hidden="1">
      <c r="A576" s="600"/>
      <c r="B576" s="610"/>
      <c r="C576" s="617" t="s">
        <v>243</v>
      </c>
      <c r="D576" s="610"/>
      <c r="E576" s="610"/>
      <c r="F576" s="618"/>
      <c r="G576" s="752"/>
      <c r="H576" s="757" t="s">
        <v>46</v>
      </c>
      <c r="I576" s="189">
        <f ca="1">IFERROR(__xludf.DUMMYFUNCTION("IMPORTRANGE(""https://docs.google.com/spreadsheets/d/1QqKyyYR6Q21VydFLVH3TRQUabQu_ym0Zz7PgGX0-kHA/edit?usp=sharing"",""แผน!HH73"")"),0)</f>
        <v>0</v>
      </c>
      <c r="J576" s="673">
        <f t="shared" ref="J576:J577" si="248">J578+J580+J582+J588+J590</f>
        <v>0</v>
      </c>
      <c r="K576" s="409">
        <f t="shared" ref="K576:K577" ca="1" si="249">IF(I576&gt;0,J576*100/I576,0)</f>
        <v>0</v>
      </c>
      <c r="L576" s="159"/>
      <c r="M576" s="159"/>
      <c r="N576" s="159"/>
      <c r="O576" s="159"/>
      <c r="P576" s="159"/>
      <c r="Q576" s="570"/>
      <c r="R576" s="570"/>
      <c r="S576" s="570"/>
      <c r="T576" s="570"/>
      <c r="U576" s="570"/>
      <c r="V576" s="570"/>
      <c r="W576" s="570"/>
      <c r="X576" s="570"/>
      <c r="Y576" s="570"/>
      <c r="Z576" s="570"/>
    </row>
    <row r="577" spans="1:26" ht="19.5" hidden="1">
      <c r="A577" s="600"/>
      <c r="B577" s="610"/>
      <c r="C577" s="610"/>
      <c r="D577" s="610"/>
      <c r="E577" s="618"/>
      <c r="F577" s="618"/>
      <c r="G577" s="752"/>
      <c r="H577" s="757" t="s">
        <v>34</v>
      </c>
      <c r="I577" s="189">
        <f ca="1">IFERROR(__xludf.DUMMYFUNCTION("IMPORTRANGE(""https://docs.google.com/spreadsheets/d/1QqKyyYR6Q21VydFLVH3TRQUabQu_ym0Zz7PgGX0-kHA/edit?usp=sharing"",""แผน!HG73"")"),0)</f>
        <v>0</v>
      </c>
      <c r="J577" s="673">
        <f t="shared" si="248"/>
        <v>0</v>
      </c>
      <c r="K577" s="409">
        <f t="shared" ca="1" si="249"/>
        <v>0</v>
      </c>
      <c r="L577" s="159"/>
      <c r="M577" s="159"/>
      <c r="N577" s="159"/>
      <c r="O577" s="159"/>
      <c r="P577" s="159"/>
      <c r="Q577" s="570"/>
      <c r="R577" s="570"/>
      <c r="S577" s="570"/>
      <c r="T577" s="570"/>
      <c r="U577" s="570"/>
      <c r="V577" s="570"/>
      <c r="W577" s="570"/>
      <c r="X577" s="570"/>
      <c r="Y577" s="570"/>
      <c r="Z577" s="570"/>
    </row>
    <row r="578" spans="1:26" ht="18.75" hidden="1">
      <c r="A578" s="600"/>
      <c r="B578" s="610"/>
      <c r="C578" s="610"/>
      <c r="D578" s="618" t="s">
        <v>244</v>
      </c>
      <c r="E578" s="618"/>
      <c r="F578" s="618"/>
      <c r="G578" s="752"/>
      <c r="H578" s="754" t="s">
        <v>46</v>
      </c>
      <c r="I578" s="180"/>
      <c r="J578" s="210">
        <v>0</v>
      </c>
      <c r="K578" s="159"/>
      <c r="L578" s="159"/>
      <c r="M578" s="159"/>
      <c r="N578" s="159"/>
      <c r="O578" s="159"/>
      <c r="P578" s="159"/>
      <c r="Q578" s="570"/>
      <c r="R578" s="570"/>
      <c r="S578" s="570"/>
      <c r="T578" s="570"/>
      <c r="U578" s="570"/>
      <c r="V578" s="570"/>
      <c r="W578" s="570"/>
      <c r="X578" s="570"/>
      <c r="Y578" s="570"/>
      <c r="Z578" s="570"/>
    </row>
    <row r="579" spans="1:26" ht="18.75" hidden="1">
      <c r="A579" s="600"/>
      <c r="B579" s="610"/>
      <c r="C579" s="610"/>
      <c r="D579" s="610"/>
      <c r="E579" s="618"/>
      <c r="F579" s="618"/>
      <c r="G579" s="752"/>
      <c r="H579" s="754" t="s">
        <v>34</v>
      </c>
      <c r="I579" s="180"/>
      <c r="J579" s="210">
        <v>0</v>
      </c>
      <c r="K579" s="159"/>
      <c r="L579" s="159"/>
      <c r="M579" s="159"/>
      <c r="N579" s="159"/>
      <c r="O579" s="159"/>
      <c r="P579" s="159"/>
      <c r="Q579" s="570"/>
      <c r="R579" s="570"/>
      <c r="S579" s="570"/>
      <c r="T579" s="570"/>
      <c r="U579" s="570"/>
      <c r="V579" s="570"/>
      <c r="W579" s="570"/>
      <c r="X579" s="570"/>
      <c r="Y579" s="570"/>
      <c r="Z579" s="570"/>
    </row>
    <row r="580" spans="1:26" ht="18.75" hidden="1">
      <c r="A580" s="600"/>
      <c r="B580" s="610"/>
      <c r="C580" s="610"/>
      <c r="D580" s="618" t="s">
        <v>245</v>
      </c>
      <c r="E580" s="618"/>
      <c r="F580" s="618"/>
      <c r="G580" s="752"/>
      <c r="H580" s="754" t="s">
        <v>46</v>
      </c>
      <c r="I580" s="180"/>
      <c r="J580" s="210">
        <v>0</v>
      </c>
      <c r="K580" s="159"/>
      <c r="L580" s="159"/>
      <c r="M580" s="159"/>
      <c r="N580" s="159"/>
      <c r="O580" s="159"/>
      <c r="P580" s="159"/>
      <c r="Q580" s="570"/>
      <c r="R580" s="570"/>
      <c r="S580" s="570"/>
      <c r="T580" s="570"/>
      <c r="U580" s="570"/>
      <c r="V580" s="570"/>
      <c r="W580" s="570"/>
      <c r="X580" s="570"/>
      <c r="Y580" s="570"/>
      <c r="Z580" s="570"/>
    </row>
    <row r="581" spans="1:26" ht="18.75" hidden="1">
      <c r="A581" s="600"/>
      <c r="B581" s="610"/>
      <c r="C581" s="610"/>
      <c r="D581" s="610"/>
      <c r="E581" s="618"/>
      <c r="F581" s="618"/>
      <c r="G581" s="752"/>
      <c r="H581" s="754" t="s">
        <v>34</v>
      </c>
      <c r="I581" s="180"/>
      <c r="J581" s="210">
        <v>0</v>
      </c>
      <c r="K581" s="159"/>
      <c r="L581" s="159"/>
      <c r="M581" s="159"/>
      <c r="N581" s="159"/>
      <c r="O581" s="159"/>
      <c r="P581" s="159"/>
      <c r="Q581" s="570"/>
      <c r="R581" s="570"/>
      <c r="S581" s="570"/>
      <c r="T581" s="570"/>
      <c r="U581" s="570"/>
      <c r="V581" s="570"/>
      <c r="W581" s="570"/>
      <c r="X581" s="570"/>
      <c r="Y581" s="570"/>
      <c r="Z581" s="570"/>
    </row>
    <row r="582" spans="1:26" ht="19.5" hidden="1">
      <c r="A582" s="600"/>
      <c r="B582" s="610"/>
      <c r="C582" s="610"/>
      <c r="D582" s="618" t="s">
        <v>246</v>
      </c>
      <c r="E582" s="618"/>
      <c r="F582" s="618"/>
      <c r="G582" s="752"/>
      <c r="H582" s="754" t="s">
        <v>46</v>
      </c>
      <c r="I582" s="180"/>
      <c r="J582" s="673">
        <f t="shared" ref="J582:J583" si="250">J584+J586</f>
        <v>0</v>
      </c>
      <c r="K582" s="409"/>
      <c r="L582" s="159"/>
      <c r="M582" s="159"/>
      <c r="N582" s="159"/>
      <c r="O582" s="159"/>
      <c r="P582" s="159"/>
      <c r="Q582" s="570"/>
      <c r="R582" s="570"/>
      <c r="S582" s="570"/>
      <c r="T582" s="570"/>
      <c r="U582" s="570"/>
      <c r="V582" s="570"/>
      <c r="W582" s="570"/>
      <c r="X582" s="570"/>
      <c r="Y582" s="570"/>
      <c r="Z582" s="570"/>
    </row>
    <row r="583" spans="1:26" ht="19.5" hidden="1">
      <c r="A583" s="600"/>
      <c r="B583" s="610"/>
      <c r="C583" s="610"/>
      <c r="D583" s="610"/>
      <c r="E583" s="618"/>
      <c r="F583" s="618"/>
      <c r="G583" s="752"/>
      <c r="H583" s="754" t="s">
        <v>34</v>
      </c>
      <c r="I583" s="180"/>
      <c r="J583" s="673">
        <f t="shared" si="250"/>
        <v>0</v>
      </c>
      <c r="K583" s="409"/>
      <c r="L583" s="159"/>
      <c r="M583" s="159"/>
      <c r="N583" s="159"/>
      <c r="O583" s="159"/>
      <c r="P583" s="159"/>
      <c r="Q583" s="570"/>
      <c r="R583" s="570"/>
      <c r="S583" s="570"/>
      <c r="T583" s="570"/>
      <c r="U583" s="570"/>
      <c r="V583" s="570"/>
      <c r="W583" s="570"/>
      <c r="X583" s="570"/>
      <c r="Y583" s="570"/>
      <c r="Z583" s="570"/>
    </row>
    <row r="584" spans="1:26" ht="18.75" hidden="1">
      <c r="A584" s="600"/>
      <c r="B584" s="610"/>
      <c r="C584" s="610"/>
      <c r="D584" s="610"/>
      <c r="E584" s="618" t="s">
        <v>247</v>
      </c>
      <c r="F584" s="618"/>
      <c r="G584" s="752"/>
      <c r="H584" s="754" t="s">
        <v>46</v>
      </c>
      <c r="I584" s="180"/>
      <c r="J584" s="210">
        <v>0</v>
      </c>
      <c r="K584" s="159"/>
      <c r="L584" s="159"/>
      <c r="M584" s="159"/>
      <c r="N584" s="159"/>
      <c r="O584" s="159"/>
      <c r="P584" s="159"/>
      <c r="Q584" s="570"/>
      <c r="R584" s="570"/>
      <c r="S584" s="570"/>
      <c r="T584" s="570"/>
      <c r="U584" s="570"/>
      <c r="V584" s="570"/>
      <c r="W584" s="570"/>
      <c r="X584" s="570"/>
      <c r="Y584" s="570"/>
      <c r="Z584" s="570"/>
    </row>
    <row r="585" spans="1:26" ht="18.75" hidden="1">
      <c r="A585" s="600"/>
      <c r="B585" s="610"/>
      <c r="C585" s="610"/>
      <c r="D585" s="610"/>
      <c r="E585" s="618"/>
      <c r="F585" s="618"/>
      <c r="G585" s="752"/>
      <c r="H585" s="754" t="s">
        <v>34</v>
      </c>
      <c r="I585" s="180"/>
      <c r="J585" s="210">
        <v>0</v>
      </c>
      <c r="K585" s="159"/>
      <c r="L585" s="159"/>
      <c r="M585" s="159"/>
      <c r="N585" s="159"/>
      <c r="O585" s="159"/>
      <c r="P585" s="159"/>
      <c r="Q585" s="570"/>
      <c r="R585" s="570"/>
      <c r="S585" s="570"/>
      <c r="T585" s="570"/>
      <c r="U585" s="570"/>
      <c r="V585" s="570"/>
      <c r="W585" s="570"/>
      <c r="X585" s="570"/>
      <c r="Y585" s="570"/>
      <c r="Z585" s="570"/>
    </row>
    <row r="586" spans="1:26" ht="18.75" hidden="1">
      <c r="A586" s="600"/>
      <c r="B586" s="610"/>
      <c r="C586" s="610"/>
      <c r="D586" s="610"/>
      <c r="E586" s="618" t="s">
        <v>248</v>
      </c>
      <c r="F586" s="618"/>
      <c r="G586" s="752"/>
      <c r="H586" s="754" t="s">
        <v>46</v>
      </c>
      <c r="I586" s="180"/>
      <c r="J586" s="210">
        <v>0</v>
      </c>
      <c r="K586" s="159"/>
      <c r="L586" s="159"/>
      <c r="M586" s="159"/>
      <c r="N586" s="159"/>
      <c r="O586" s="159"/>
      <c r="P586" s="159"/>
      <c r="Q586" s="570"/>
      <c r="R586" s="570"/>
      <c r="S586" s="570"/>
      <c r="T586" s="570"/>
      <c r="U586" s="570"/>
      <c r="V586" s="570"/>
      <c r="W586" s="570"/>
      <c r="X586" s="570"/>
      <c r="Y586" s="570"/>
      <c r="Z586" s="570"/>
    </row>
    <row r="587" spans="1:26" ht="18.75" hidden="1">
      <c r="A587" s="600"/>
      <c r="B587" s="610"/>
      <c r="C587" s="610"/>
      <c r="D587" s="610"/>
      <c r="E587" s="610"/>
      <c r="F587" s="618"/>
      <c r="G587" s="752"/>
      <c r="H587" s="754" t="s">
        <v>34</v>
      </c>
      <c r="I587" s="180"/>
      <c r="J587" s="210">
        <v>0</v>
      </c>
      <c r="K587" s="159"/>
      <c r="L587" s="159"/>
      <c r="M587" s="159"/>
      <c r="N587" s="159"/>
      <c r="O587" s="159"/>
      <c r="P587" s="159"/>
      <c r="Q587" s="570"/>
      <c r="R587" s="570"/>
      <c r="S587" s="570"/>
      <c r="T587" s="570"/>
      <c r="U587" s="570"/>
      <c r="V587" s="570"/>
      <c r="W587" s="570"/>
      <c r="X587" s="570"/>
      <c r="Y587" s="570"/>
      <c r="Z587" s="570"/>
    </row>
    <row r="588" spans="1:26" ht="18.75" hidden="1">
      <c r="A588" s="600"/>
      <c r="B588" s="610"/>
      <c r="C588" s="610"/>
      <c r="D588" s="618" t="s">
        <v>249</v>
      </c>
      <c r="E588" s="618"/>
      <c r="F588" s="618"/>
      <c r="G588" s="752"/>
      <c r="H588" s="754" t="s">
        <v>46</v>
      </c>
      <c r="I588" s="180"/>
      <c r="J588" s="210">
        <v>0</v>
      </c>
      <c r="K588" s="159"/>
      <c r="L588" s="159"/>
      <c r="M588" s="159"/>
      <c r="N588" s="159"/>
      <c r="O588" s="159"/>
      <c r="P588" s="159"/>
      <c r="Q588" s="570"/>
      <c r="R588" s="570"/>
      <c r="S588" s="570"/>
      <c r="T588" s="570"/>
      <c r="U588" s="570"/>
      <c r="V588" s="570"/>
      <c r="W588" s="570"/>
      <c r="X588" s="570"/>
      <c r="Y588" s="570"/>
      <c r="Z588" s="570"/>
    </row>
    <row r="589" spans="1:26" ht="18.75" hidden="1">
      <c r="A589" s="600"/>
      <c r="B589" s="610"/>
      <c r="C589" s="610"/>
      <c r="D589" s="610"/>
      <c r="E589" s="610"/>
      <c r="F589" s="618"/>
      <c r="G589" s="752"/>
      <c r="H589" s="754" t="s">
        <v>34</v>
      </c>
      <c r="I589" s="180"/>
      <c r="J589" s="210">
        <v>0</v>
      </c>
      <c r="K589" s="159"/>
      <c r="L589" s="159"/>
      <c r="M589" s="159"/>
      <c r="N589" s="159"/>
      <c r="O589" s="159"/>
      <c r="P589" s="159"/>
      <c r="Q589" s="570"/>
      <c r="R589" s="570"/>
      <c r="S589" s="570"/>
      <c r="T589" s="570"/>
      <c r="U589" s="570"/>
      <c r="V589" s="570"/>
      <c r="W589" s="570"/>
      <c r="X589" s="570"/>
      <c r="Y589" s="570"/>
      <c r="Z589" s="570"/>
    </row>
    <row r="590" spans="1:26" ht="18.75" hidden="1">
      <c r="A590" s="600"/>
      <c r="B590" s="610"/>
      <c r="C590" s="610"/>
      <c r="D590" s="618" t="s">
        <v>250</v>
      </c>
      <c r="E590" s="618"/>
      <c r="F590" s="618"/>
      <c r="G590" s="752"/>
      <c r="H590" s="754" t="s">
        <v>46</v>
      </c>
      <c r="I590" s="180"/>
      <c r="J590" s="210">
        <v>0</v>
      </c>
      <c r="K590" s="159"/>
      <c r="L590" s="159"/>
      <c r="M590" s="159"/>
      <c r="N590" s="159"/>
      <c r="O590" s="159"/>
      <c r="P590" s="159"/>
      <c r="Q590" s="570"/>
      <c r="R590" s="570"/>
      <c r="S590" s="570"/>
      <c r="T590" s="570"/>
      <c r="U590" s="570"/>
      <c r="V590" s="570"/>
      <c r="W590" s="570"/>
      <c r="X590" s="570"/>
      <c r="Y590" s="570"/>
      <c r="Z590" s="570"/>
    </row>
    <row r="591" spans="1:26" ht="18.75" hidden="1">
      <c r="A591" s="688"/>
      <c r="B591" s="689"/>
      <c r="C591" s="689"/>
      <c r="D591" s="689"/>
      <c r="E591" s="570"/>
      <c r="F591" s="570"/>
      <c r="G591" s="690"/>
      <c r="H591" s="691" t="s">
        <v>34</v>
      </c>
      <c r="I591" s="692"/>
      <c r="J591" s="693">
        <v>0</v>
      </c>
      <c r="K591" s="694"/>
      <c r="L591" s="694"/>
      <c r="M591" s="694"/>
      <c r="N591" s="694"/>
      <c r="O591" s="694"/>
      <c r="P591" s="694"/>
      <c r="Q591" s="570"/>
      <c r="R591" s="570"/>
      <c r="S591" s="570"/>
      <c r="T591" s="570"/>
      <c r="U591" s="570"/>
      <c r="V591" s="570"/>
      <c r="W591" s="570"/>
      <c r="X591" s="570"/>
      <c r="Y591" s="570"/>
      <c r="Z591" s="570"/>
    </row>
    <row r="592" spans="1:26" ht="19.5" hidden="1">
      <c r="A592" s="684"/>
      <c r="B592" s="685" t="s">
        <v>251</v>
      </c>
      <c r="C592" s="686"/>
      <c r="D592" s="686"/>
      <c r="E592" s="665"/>
      <c r="F592" s="665"/>
      <c r="G592" s="666"/>
      <c r="H592" s="687" t="s">
        <v>46</v>
      </c>
      <c r="I592" s="698">
        <f t="shared" ref="I592:J592" ca="1" si="251">I593</f>
        <v>0</v>
      </c>
      <c r="J592" s="698">
        <f t="shared" si="251"/>
        <v>0</v>
      </c>
      <c r="K592" s="669">
        <f t="shared" ref="K592:K594" ca="1" si="252">IF(I592&gt;0,J592*100/I592,0)</f>
        <v>0</v>
      </c>
      <c r="L592" s="670"/>
      <c r="M592" s="670"/>
      <c r="N592" s="670"/>
      <c r="O592" s="670"/>
      <c r="P592" s="670"/>
      <c r="Q592" s="570"/>
      <c r="R592" s="570"/>
      <c r="S592" s="570"/>
      <c r="T592" s="570"/>
      <c r="U592" s="570"/>
      <c r="V592" s="570"/>
      <c r="W592" s="570"/>
      <c r="X592" s="570"/>
      <c r="Y592" s="570"/>
      <c r="Z592" s="570"/>
    </row>
    <row r="593" spans="1:26" ht="19.5" hidden="1">
      <c r="A593" s="600"/>
      <c r="B593" s="610"/>
      <c r="C593" s="617" t="s">
        <v>252</v>
      </c>
      <c r="D593" s="610"/>
      <c r="E593" s="610"/>
      <c r="F593" s="618"/>
      <c r="G593" s="752"/>
      <c r="H593" s="757" t="s">
        <v>46</v>
      </c>
      <c r="I593" s="189">
        <f ca="1">IFERROR(__xludf.DUMMYFUNCTION("IMPORTRANGE(""https://docs.google.com/spreadsheets/d/1QqKyyYR6Q21VydFLVH3TRQUabQu_ym0Zz7PgGX0-kHA/edit?usp=sharing"",""แผน!HJ73"")"),0)</f>
        <v>0</v>
      </c>
      <c r="J593" s="189">
        <f t="shared" ref="J593:J594" si="253">J595+J603+J609</f>
        <v>0</v>
      </c>
      <c r="K593" s="409">
        <f t="shared" ca="1" si="252"/>
        <v>0</v>
      </c>
      <c r="L593" s="159"/>
      <c r="M593" s="159"/>
      <c r="N593" s="159"/>
      <c r="O593" s="159"/>
      <c r="P593" s="159"/>
      <c r="Q593" s="570"/>
      <c r="R593" s="570"/>
      <c r="S593" s="570"/>
      <c r="T593" s="570"/>
      <c r="U593" s="570"/>
      <c r="V593" s="570"/>
      <c r="W593" s="570"/>
      <c r="X593" s="570"/>
      <c r="Y593" s="570"/>
      <c r="Z593" s="570"/>
    </row>
    <row r="594" spans="1:26" ht="19.5" hidden="1">
      <c r="A594" s="600"/>
      <c r="B594" s="610"/>
      <c r="C594" s="610"/>
      <c r="D594" s="610"/>
      <c r="E594" s="618"/>
      <c r="F594" s="618"/>
      <c r="G594" s="752"/>
      <c r="H594" s="757" t="s">
        <v>34</v>
      </c>
      <c r="I594" s="189">
        <f ca="1">IFERROR(__xludf.DUMMYFUNCTION("IMPORTRANGE(""https://docs.google.com/spreadsheets/d/1QqKyyYR6Q21VydFLVH3TRQUabQu_ym0Zz7PgGX0-kHA/edit?usp=sharing"",""แผน!HI73"")"),0)</f>
        <v>0</v>
      </c>
      <c r="J594" s="189">
        <f t="shared" si="253"/>
        <v>0</v>
      </c>
      <c r="K594" s="409">
        <f t="shared" ca="1" si="252"/>
        <v>0</v>
      </c>
      <c r="L594" s="159"/>
      <c r="M594" s="159"/>
      <c r="N594" s="159"/>
      <c r="O594" s="159"/>
      <c r="P594" s="159"/>
      <c r="Q594" s="570"/>
      <c r="R594" s="570"/>
      <c r="S594" s="570"/>
      <c r="T594" s="570"/>
      <c r="U594" s="570"/>
      <c r="V594" s="570"/>
      <c r="W594" s="570"/>
      <c r="X594" s="570"/>
      <c r="Y594" s="570"/>
      <c r="Z594" s="570"/>
    </row>
    <row r="595" spans="1:26" ht="18.75" hidden="1">
      <c r="A595" s="600"/>
      <c r="B595" s="610"/>
      <c r="C595" s="610" t="s">
        <v>253</v>
      </c>
      <c r="D595" s="610"/>
      <c r="E595" s="610"/>
      <c r="F595" s="618"/>
      <c r="G595" s="752"/>
      <c r="H595" s="754" t="s">
        <v>46</v>
      </c>
      <c r="I595" s="180"/>
      <c r="J595" s="180">
        <f t="shared" ref="J595:J596" si="254">J597+J599</f>
        <v>0</v>
      </c>
      <c r="K595" s="159"/>
      <c r="L595" s="159"/>
      <c r="M595" s="159"/>
      <c r="N595" s="159"/>
      <c r="O595" s="159"/>
      <c r="P595" s="159"/>
      <c r="Q595" s="570"/>
      <c r="R595" s="570"/>
      <c r="S595" s="570"/>
      <c r="T595" s="570"/>
      <c r="U595" s="570"/>
      <c r="V595" s="570"/>
      <c r="W595" s="570"/>
      <c r="X595" s="570"/>
      <c r="Y595" s="570"/>
      <c r="Z595" s="570"/>
    </row>
    <row r="596" spans="1:26" ht="18.75" hidden="1">
      <c r="A596" s="600"/>
      <c r="B596" s="610"/>
      <c r="C596" s="610"/>
      <c r="D596" s="610"/>
      <c r="E596" s="618"/>
      <c r="F596" s="618"/>
      <c r="G596" s="752"/>
      <c r="H596" s="754" t="s">
        <v>34</v>
      </c>
      <c r="I596" s="180"/>
      <c r="J596" s="180">
        <f t="shared" si="254"/>
        <v>0</v>
      </c>
      <c r="K596" s="159"/>
      <c r="L596" s="159"/>
      <c r="M596" s="159"/>
      <c r="N596" s="159"/>
      <c r="O596" s="159"/>
      <c r="P596" s="159"/>
      <c r="Q596" s="570"/>
      <c r="R596" s="570"/>
      <c r="S596" s="570"/>
      <c r="T596" s="570"/>
      <c r="U596" s="570"/>
      <c r="V596" s="570"/>
      <c r="W596" s="570"/>
      <c r="X596" s="570"/>
      <c r="Y596" s="570"/>
      <c r="Z596" s="570"/>
    </row>
    <row r="597" spans="1:26" ht="18.75" hidden="1">
      <c r="A597" s="600"/>
      <c r="B597" s="610"/>
      <c r="C597" s="610"/>
      <c r="D597" s="736" t="s">
        <v>254</v>
      </c>
      <c r="E597" s="618"/>
      <c r="F597" s="618"/>
      <c r="G597" s="752"/>
      <c r="H597" s="754" t="s">
        <v>46</v>
      </c>
      <c r="I597" s="180"/>
      <c r="J597" s="210">
        <v>0</v>
      </c>
      <c r="K597" s="159"/>
      <c r="L597" s="159"/>
      <c r="M597" s="159"/>
      <c r="N597" s="159"/>
      <c r="O597" s="159"/>
      <c r="P597" s="159"/>
      <c r="Q597" s="570"/>
      <c r="R597" s="570"/>
      <c r="S597" s="570"/>
      <c r="T597" s="570"/>
      <c r="U597" s="570"/>
      <c r="V597" s="570"/>
      <c r="W597" s="570"/>
      <c r="X597" s="570"/>
      <c r="Y597" s="570"/>
      <c r="Z597" s="570"/>
    </row>
    <row r="598" spans="1:26" ht="18.75" hidden="1">
      <c r="A598" s="600"/>
      <c r="B598" s="610"/>
      <c r="C598" s="610"/>
      <c r="D598" s="610"/>
      <c r="E598" s="618"/>
      <c r="F598" s="618"/>
      <c r="G598" s="752"/>
      <c r="H598" s="754" t="s">
        <v>34</v>
      </c>
      <c r="I598" s="264"/>
      <c r="J598" s="210">
        <v>0</v>
      </c>
      <c r="K598" s="159"/>
      <c r="L598" s="159"/>
      <c r="M598" s="159"/>
      <c r="N598" s="159"/>
      <c r="O598" s="159"/>
      <c r="P598" s="159"/>
      <c r="Q598" s="570"/>
      <c r="R598" s="570"/>
      <c r="S598" s="570"/>
      <c r="T598" s="570"/>
      <c r="U598" s="570"/>
      <c r="V598" s="570"/>
      <c r="W598" s="570"/>
      <c r="X598" s="570"/>
      <c r="Y598" s="570"/>
      <c r="Z598" s="570"/>
    </row>
    <row r="599" spans="1:26" ht="18.75" hidden="1">
      <c r="A599" s="600"/>
      <c r="B599" s="610"/>
      <c r="C599" s="610"/>
      <c r="D599" s="736" t="s">
        <v>255</v>
      </c>
      <c r="E599" s="618"/>
      <c r="F599" s="618"/>
      <c r="G599" s="752"/>
      <c r="H599" s="754" t="s">
        <v>46</v>
      </c>
      <c r="I599" s="264"/>
      <c r="J599" s="210">
        <v>0</v>
      </c>
      <c r="K599" s="159"/>
      <c r="L599" s="159"/>
      <c r="M599" s="159"/>
      <c r="N599" s="159"/>
      <c r="O599" s="159"/>
      <c r="P599" s="159"/>
      <c r="Q599" s="570"/>
      <c r="R599" s="570"/>
      <c r="S599" s="570"/>
      <c r="T599" s="570"/>
      <c r="U599" s="570"/>
      <c r="V599" s="570"/>
      <c r="W599" s="570"/>
      <c r="X599" s="570"/>
      <c r="Y599" s="570"/>
      <c r="Z599" s="570"/>
    </row>
    <row r="600" spans="1:26" ht="18.75" hidden="1">
      <c r="A600" s="600"/>
      <c r="B600" s="610"/>
      <c r="C600" s="610"/>
      <c r="D600" s="610"/>
      <c r="E600" s="618"/>
      <c r="F600" s="618"/>
      <c r="G600" s="752"/>
      <c r="H600" s="754" t="s">
        <v>34</v>
      </c>
      <c r="I600" s="264"/>
      <c r="J600" s="210">
        <v>0</v>
      </c>
      <c r="K600" s="159"/>
      <c r="L600" s="159"/>
      <c r="M600" s="159"/>
      <c r="N600" s="159"/>
      <c r="O600" s="159"/>
      <c r="P600" s="159"/>
      <c r="Q600" s="570"/>
      <c r="R600" s="570"/>
      <c r="S600" s="570"/>
      <c r="T600" s="570"/>
      <c r="U600" s="570"/>
      <c r="V600" s="570"/>
      <c r="W600" s="570"/>
      <c r="X600" s="570"/>
      <c r="Y600" s="570"/>
      <c r="Z600" s="570"/>
    </row>
    <row r="601" spans="1:26" ht="18.75" hidden="1">
      <c r="A601" s="600"/>
      <c r="B601" s="610"/>
      <c r="C601" s="610"/>
      <c r="D601" s="736" t="s">
        <v>256</v>
      </c>
      <c r="E601" s="618"/>
      <c r="F601" s="618"/>
      <c r="G601" s="752"/>
      <c r="H601" s="754" t="s">
        <v>46</v>
      </c>
      <c r="I601" s="264"/>
      <c r="J601" s="210">
        <v>0</v>
      </c>
      <c r="K601" s="159"/>
      <c r="L601" s="159"/>
      <c r="M601" s="159"/>
      <c r="N601" s="159"/>
      <c r="O601" s="159"/>
      <c r="P601" s="159"/>
      <c r="Q601" s="570"/>
      <c r="R601" s="570"/>
      <c r="S601" s="570"/>
      <c r="T601" s="570"/>
      <c r="U601" s="570"/>
      <c r="V601" s="570"/>
      <c r="W601" s="570"/>
      <c r="X601" s="570"/>
      <c r="Y601" s="570"/>
      <c r="Z601" s="570"/>
    </row>
    <row r="602" spans="1:26" ht="18.75" hidden="1">
      <c r="A602" s="600"/>
      <c r="B602" s="610"/>
      <c r="C602" s="610"/>
      <c r="D602" s="610"/>
      <c r="E602" s="618"/>
      <c r="F602" s="618"/>
      <c r="G602" s="752"/>
      <c r="H602" s="754" t="s">
        <v>34</v>
      </c>
      <c r="I602" s="264"/>
      <c r="J602" s="210">
        <v>0</v>
      </c>
      <c r="K602" s="159"/>
      <c r="L602" s="159"/>
      <c r="M602" s="159"/>
      <c r="N602" s="159"/>
      <c r="O602" s="159"/>
      <c r="P602" s="159"/>
      <c r="Q602" s="570"/>
      <c r="R602" s="570"/>
      <c r="S602" s="570"/>
      <c r="T602" s="570"/>
      <c r="U602" s="570"/>
      <c r="V602" s="570"/>
      <c r="W602" s="570"/>
      <c r="X602" s="570"/>
      <c r="Y602" s="570"/>
      <c r="Z602" s="570"/>
    </row>
    <row r="603" spans="1:26" ht="18.75" hidden="1">
      <c r="A603" s="600"/>
      <c r="B603" s="610"/>
      <c r="C603" s="695" t="s">
        <v>257</v>
      </c>
      <c r="D603" s="610"/>
      <c r="E603" s="610"/>
      <c r="F603" s="618"/>
      <c r="G603" s="752"/>
      <c r="H603" s="754" t="s">
        <v>46</v>
      </c>
      <c r="I603" s="264"/>
      <c r="J603" s="264">
        <f t="shared" ref="J603:J604" si="255">J605+J607</f>
        <v>0</v>
      </c>
      <c r="K603" s="159"/>
      <c r="L603" s="159"/>
      <c r="M603" s="159"/>
      <c r="N603" s="159"/>
      <c r="O603" s="159"/>
      <c r="P603" s="159"/>
      <c r="Q603" s="570"/>
      <c r="R603" s="570"/>
      <c r="S603" s="570"/>
      <c r="T603" s="570"/>
      <c r="U603" s="570"/>
      <c r="V603" s="570"/>
      <c r="W603" s="570"/>
      <c r="X603" s="570"/>
      <c r="Y603" s="570"/>
      <c r="Z603" s="570"/>
    </row>
    <row r="604" spans="1:26" ht="18.75" hidden="1">
      <c r="A604" s="600"/>
      <c r="B604" s="610"/>
      <c r="C604" s="610"/>
      <c r="D604" s="610"/>
      <c r="E604" s="618"/>
      <c r="F604" s="618"/>
      <c r="G604" s="752"/>
      <c r="H604" s="754" t="s">
        <v>34</v>
      </c>
      <c r="I604" s="264"/>
      <c r="J604" s="264">
        <f t="shared" si="255"/>
        <v>0</v>
      </c>
      <c r="K604" s="159"/>
      <c r="L604" s="159"/>
      <c r="M604" s="159"/>
      <c r="N604" s="159"/>
      <c r="O604" s="159"/>
      <c r="P604" s="159"/>
      <c r="Q604" s="570"/>
      <c r="R604" s="570"/>
      <c r="S604" s="570"/>
      <c r="T604" s="570"/>
      <c r="U604" s="570"/>
      <c r="V604" s="570"/>
      <c r="W604" s="570"/>
      <c r="X604" s="570"/>
      <c r="Y604" s="570"/>
      <c r="Z604" s="570"/>
    </row>
    <row r="605" spans="1:26" ht="18.75" hidden="1">
      <c r="A605" s="600"/>
      <c r="B605" s="610"/>
      <c r="C605" s="610"/>
      <c r="D605" s="695" t="s">
        <v>258</v>
      </c>
      <c r="E605" s="618"/>
      <c r="F605" s="618"/>
      <c r="G605" s="752"/>
      <c r="H605" s="754" t="s">
        <v>46</v>
      </c>
      <c r="I605" s="264"/>
      <c r="J605" s="210">
        <v>0</v>
      </c>
      <c r="K605" s="159"/>
      <c r="L605" s="159"/>
      <c r="M605" s="159"/>
      <c r="N605" s="159"/>
      <c r="O605" s="159"/>
      <c r="P605" s="159"/>
      <c r="Q605" s="570"/>
      <c r="R605" s="570"/>
      <c r="S605" s="570"/>
      <c r="T605" s="570"/>
      <c r="U605" s="570"/>
      <c r="V605" s="570"/>
      <c r="W605" s="570"/>
      <c r="X605" s="570"/>
      <c r="Y605" s="570"/>
      <c r="Z605" s="570"/>
    </row>
    <row r="606" spans="1:26" ht="18.75" hidden="1">
      <c r="A606" s="600"/>
      <c r="B606" s="610"/>
      <c r="C606" s="610"/>
      <c r="D606" s="610"/>
      <c r="E606" s="610"/>
      <c r="F606" s="618"/>
      <c r="G606" s="752"/>
      <c r="H606" s="754" t="s">
        <v>34</v>
      </c>
      <c r="I606" s="264"/>
      <c r="J606" s="210">
        <v>0</v>
      </c>
      <c r="K606" s="159"/>
      <c r="L606" s="159"/>
      <c r="M606" s="159"/>
      <c r="N606" s="159"/>
      <c r="O606" s="159"/>
      <c r="P606" s="159"/>
      <c r="Q606" s="570"/>
      <c r="R606" s="570"/>
      <c r="S606" s="570"/>
      <c r="T606" s="570"/>
      <c r="U606" s="570"/>
      <c r="V606" s="570"/>
      <c r="W606" s="570"/>
      <c r="X606" s="570"/>
      <c r="Y606" s="570"/>
      <c r="Z606" s="570"/>
    </row>
    <row r="607" spans="1:26" ht="18.75" hidden="1">
      <c r="A607" s="600"/>
      <c r="B607" s="610"/>
      <c r="C607" s="610"/>
      <c r="D607" s="695" t="s">
        <v>259</v>
      </c>
      <c r="E607" s="610"/>
      <c r="F607" s="618"/>
      <c r="G607" s="752"/>
      <c r="H607" s="754" t="s">
        <v>46</v>
      </c>
      <c r="I607" s="264"/>
      <c r="J607" s="210">
        <v>0</v>
      </c>
      <c r="K607" s="159"/>
      <c r="L607" s="159"/>
      <c r="M607" s="159"/>
      <c r="N607" s="159"/>
      <c r="O607" s="159"/>
      <c r="P607" s="159"/>
      <c r="Q607" s="570"/>
      <c r="R607" s="570"/>
      <c r="S607" s="570"/>
      <c r="T607" s="570"/>
      <c r="U607" s="570"/>
      <c r="V607" s="570"/>
      <c r="W607" s="570"/>
      <c r="X607" s="570"/>
      <c r="Y607" s="570"/>
      <c r="Z607" s="570"/>
    </row>
    <row r="608" spans="1:26" ht="18.75" hidden="1">
      <c r="A608" s="600"/>
      <c r="B608" s="610"/>
      <c r="C608" s="610"/>
      <c r="D608" s="610"/>
      <c r="E608" s="618"/>
      <c r="F608" s="618"/>
      <c r="G608" s="752"/>
      <c r="H608" s="754" t="s">
        <v>34</v>
      </c>
      <c r="I608" s="264"/>
      <c r="J608" s="210">
        <v>0</v>
      </c>
      <c r="K608" s="159"/>
      <c r="L608" s="159"/>
      <c r="M608" s="159"/>
      <c r="N608" s="159"/>
      <c r="O608" s="159"/>
      <c r="P608" s="159"/>
      <c r="Q608" s="570"/>
      <c r="R608" s="570"/>
      <c r="S608" s="570"/>
      <c r="T608" s="570"/>
      <c r="U608" s="570"/>
      <c r="V608" s="570"/>
      <c r="W608" s="570"/>
      <c r="X608" s="570"/>
      <c r="Y608" s="570"/>
      <c r="Z608" s="570"/>
    </row>
    <row r="609" spans="1:26" ht="18.75" hidden="1">
      <c r="A609" s="600"/>
      <c r="B609" s="610"/>
      <c r="C609" s="610" t="s">
        <v>260</v>
      </c>
      <c r="D609" s="610"/>
      <c r="E609" s="610"/>
      <c r="F609" s="618"/>
      <c r="G609" s="752"/>
      <c r="H609" s="754" t="s">
        <v>46</v>
      </c>
      <c r="I609" s="264"/>
      <c r="J609" s="210">
        <v>0</v>
      </c>
      <c r="K609" s="159"/>
      <c r="L609" s="159"/>
      <c r="M609" s="159"/>
      <c r="N609" s="159"/>
      <c r="O609" s="159"/>
      <c r="P609" s="159"/>
      <c r="Q609" s="570"/>
      <c r="R609" s="570"/>
      <c r="S609" s="570"/>
      <c r="T609" s="570"/>
      <c r="U609" s="570"/>
      <c r="V609" s="570"/>
      <c r="W609" s="570"/>
      <c r="X609" s="570"/>
      <c r="Y609" s="570"/>
      <c r="Z609" s="570"/>
    </row>
    <row r="610" spans="1:26" ht="18.75" hidden="1">
      <c r="A610" s="600"/>
      <c r="B610" s="610"/>
      <c r="C610" s="610"/>
      <c r="D610" s="610"/>
      <c r="E610" s="618"/>
      <c r="F610" s="618"/>
      <c r="G610" s="752"/>
      <c r="H610" s="754" t="s">
        <v>34</v>
      </c>
      <c r="I610" s="264"/>
      <c r="J610" s="210">
        <v>0</v>
      </c>
      <c r="K610" s="159"/>
      <c r="L610" s="159"/>
      <c r="M610" s="159"/>
      <c r="N610" s="159"/>
      <c r="O610" s="159"/>
      <c r="P610" s="159"/>
      <c r="Q610" s="570"/>
      <c r="R610" s="570"/>
      <c r="S610" s="570"/>
      <c r="T610" s="570"/>
      <c r="U610" s="570"/>
      <c r="V610" s="570"/>
      <c r="W610" s="570"/>
      <c r="X610" s="570"/>
      <c r="Y610" s="570"/>
      <c r="Z610" s="570"/>
    </row>
    <row r="611" spans="1:26" ht="19.5" hidden="1">
      <c r="A611" s="684"/>
      <c r="B611" s="696" t="s">
        <v>261</v>
      </c>
      <c r="C611" s="686"/>
      <c r="D611" s="686"/>
      <c r="E611" s="665"/>
      <c r="F611" s="665"/>
      <c r="G611" s="666"/>
      <c r="H611" s="697" t="s">
        <v>46</v>
      </c>
      <c r="I611" s="698">
        <v>0</v>
      </c>
      <c r="J611" s="698">
        <f>J614+J616</f>
        <v>0</v>
      </c>
      <c r="K611" s="669">
        <f t="shared" ref="K611:K613" si="256">IF(I611&gt;0,J611*100/I611,0)</f>
        <v>0</v>
      </c>
      <c r="L611" s="670"/>
      <c r="M611" s="670"/>
      <c r="N611" s="670"/>
      <c r="O611" s="670"/>
      <c r="P611" s="670"/>
      <c r="Q611" s="570"/>
      <c r="R611" s="570"/>
      <c r="S611" s="570"/>
      <c r="T611" s="570"/>
      <c r="U611" s="570"/>
      <c r="V611" s="570"/>
      <c r="W611" s="570"/>
      <c r="X611" s="570"/>
      <c r="Y611" s="570"/>
      <c r="Z611" s="570"/>
    </row>
    <row r="612" spans="1:26" ht="19.5" hidden="1">
      <c r="A612" s="699"/>
      <c r="B612" s="709"/>
      <c r="C612" s="701" t="s">
        <v>262</v>
      </c>
      <c r="D612" s="709"/>
      <c r="E612" s="709"/>
      <c r="F612" s="702"/>
      <c r="G612" s="703"/>
      <c r="H612" s="704" t="s">
        <v>46</v>
      </c>
      <c r="I612" s="706">
        <v>0</v>
      </c>
      <c r="J612" s="706">
        <f t="shared" ref="J612:J613" si="257">J614+J616</f>
        <v>0</v>
      </c>
      <c r="K612" s="707">
        <f t="shared" si="256"/>
        <v>0</v>
      </c>
      <c r="L612" s="708"/>
      <c r="M612" s="708"/>
      <c r="N612" s="708"/>
      <c r="O612" s="708"/>
      <c r="P612" s="708"/>
      <c r="Q612" s="596"/>
      <c r="R612" s="596"/>
      <c r="S612" s="596"/>
      <c r="T612" s="596"/>
      <c r="U612" s="596"/>
      <c r="V612" s="596"/>
      <c r="W612" s="596"/>
      <c r="X612" s="596"/>
      <c r="Y612" s="596"/>
      <c r="Z612" s="596"/>
    </row>
    <row r="613" spans="1:26" ht="19.5" hidden="1">
      <c r="A613" s="699"/>
      <c r="B613" s="709"/>
      <c r="C613" s="709" t="s">
        <v>263</v>
      </c>
      <c r="D613" s="709"/>
      <c r="E613" s="709"/>
      <c r="F613" s="702"/>
      <c r="G613" s="703"/>
      <c r="H613" s="704" t="s">
        <v>34</v>
      </c>
      <c r="I613" s="706">
        <v>0</v>
      </c>
      <c r="J613" s="706">
        <f t="shared" si="257"/>
        <v>0</v>
      </c>
      <c r="K613" s="707">
        <f t="shared" si="256"/>
        <v>0</v>
      </c>
      <c r="L613" s="708"/>
      <c r="M613" s="708"/>
      <c r="N613" s="708"/>
      <c r="O613" s="708"/>
      <c r="P613" s="708"/>
      <c r="Q613" s="596"/>
      <c r="R613" s="596"/>
      <c r="S613" s="596"/>
      <c r="T613" s="596"/>
      <c r="U613" s="596"/>
      <c r="V613" s="596"/>
      <c r="W613" s="596"/>
      <c r="X613" s="596"/>
      <c r="Y613" s="596"/>
      <c r="Z613" s="596"/>
    </row>
    <row r="614" spans="1:26" ht="18.75" hidden="1">
      <c r="A614" s="606"/>
      <c r="B614" s="608"/>
      <c r="C614" s="608"/>
      <c r="D614" s="710" t="s">
        <v>264</v>
      </c>
      <c r="E614" s="608"/>
      <c r="F614" s="710"/>
      <c r="G614" s="361"/>
      <c r="H614" s="365" t="s">
        <v>46</v>
      </c>
      <c r="I614" s="609"/>
      <c r="J614" s="609">
        <v>0</v>
      </c>
      <c r="K614" s="163"/>
      <c r="L614" s="163"/>
      <c r="M614" s="163"/>
      <c r="N614" s="163"/>
      <c r="O614" s="163"/>
      <c r="P614" s="163"/>
      <c r="Q614" s="596"/>
      <c r="R614" s="596"/>
      <c r="S614" s="596"/>
      <c r="T614" s="596"/>
      <c r="U614" s="596"/>
      <c r="V614" s="596"/>
      <c r="W614" s="596"/>
      <c r="X614" s="596"/>
      <c r="Y614" s="596"/>
      <c r="Z614" s="596"/>
    </row>
    <row r="615" spans="1:26" ht="18.75" hidden="1">
      <c r="A615" s="606"/>
      <c r="B615" s="608"/>
      <c r="C615" s="608"/>
      <c r="D615" s="608"/>
      <c r="E615" s="608"/>
      <c r="F615" s="710"/>
      <c r="G615" s="361"/>
      <c r="H615" s="365" t="s">
        <v>34</v>
      </c>
      <c r="I615" s="609"/>
      <c r="J615" s="609">
        <v>0</v>
      </c>
      <c r="K615" s="163"/>
      <c r="L615" s="163"/>
      <c r="M615" s="163"/>
      <c r="N615" s="163"/>
      <c r="O615" s="163"/>
      <c r="P615" s="163"/>
      <c r="Q615" s="596"/>
      <c r="R615" s="596"/>
      <c r="S615" s="596"/>
      <c r="T615" s="596"/>
      <c r="U615" s="596"/>
      <c r="V615" s="596"/>
      <c r="W615" s="596"/>
      <c r="X615" s="596"/>
      <c r="Y615" s="596"/>
      <c r="Z615" s="596"/>
    </row>
    <row r="616" spans="1:26" ht="18.75" hidden="1">
      <c r="A616" s="606"/>
      <c r="B616" s="608"/>
      <c r="C616" s="608"/>
      <c r="D616" s="711" t="s">
        <v>264</v>
      </c>
      <c r="E616" s="710"/>
      <c r="F616" s="710"/>
      <c r="G616" s="361"/>
      <c r="H616" s="365" t="s">
        <v>46</v>
      </c>
      <c r="I616" s="609"/>
      <c r="J616" s="609">
        <v>0</v>
      </c>
      <c r="K616" s="163"/>
      <c r="L616" s="163"/>
      <c r="M616" s="163"/>
      <c r="N616" s="163"/>
      <c r="O616" s="163"/>
      <c r="P616" s="163"/>
      <c r="Q616" s="596"/>
      <c r="R616" s="596"/>
      <c r="S616" s="596"/>
      <c r="T616" s="596"/>
      <c r="U616" s="596"/>
      <c r="V616" s="596"/>
      <c r="W616" s="596"/>
      <c r="X616" s="596"/>
      <c r="Y616" s="596"/>
      <c r="Z616" s="596"/>
    </row>
    <row r="617" spans="1:26" ht="18.75" hidden="1">
      <c r="A617" s="606"/>
      <c r="B617" s="608"/>
      <c r="C617" s="608"/>
      <c r="D617" s="608"/>
      <c r="E617" s="710"/>
      <c r="F617" s="710"/>
      <c r="G617" s="361"/>
      <c r="H617" s="365" t="s">
        <v>34</v>
      </c>
      <c r="I617" s="609"/>
      <c r="J617" s="609">
        <v>0</v>
      </c>
      <c r="K617" s="163"/>
      <c r="L617" s="163"/>
      <c r="M617" s="163"/>
      <c r="N617" s="163"/>
      <c r="O617" s="163"/>
      <c r="P617" s="163"/>
      <c r="Q617" s="596"/>
      <c r="R617" s="596"/>
      <c r="S617" s="596"/>
      <c r="T617" s="596"/>
      <c r="U617" s="596"/>
      <c r="V617" s="596"/>
      <c r="W617" s="596"/>
      <c r="X617" s="596"/>
      <c r="Y617" s="596"/>
      <c r="Z617" s="596"/>
    </row>
    <row r="618" spans="1:26" ht="18.75" hidden="1">
      <c r="A618" s="606"/>
      <c r="B618" s="608"/>
      <c r="C618" s="608"/>
      <c r="D618" s="711" t="s">
        <v>265</v>
      </c>
      <c r="E618" s="710"/>
      <c r="F618" s="710"/>
      <c r="G618" s="361"/>
      <c r="H618" s="365" t="s">
        <v>46</v>
      </c>
      <c r="I618" s="609"/>
      <c r="J618" s="609">
        <v>0</v>
      </c>
      <c r="K618" s="163"/>
      <c r="L618" s="163"/>
      <c r="M618" s="163"/>
      <c r="N618" s="163"/>
      <c r="O618" s="163"/>
      <c r="P618" s="163"/>
      <c r="Q618" s="596"/>
      <c r="R618" s="596"/>
      <c r="S618" s="596"/>
      <c r="T618" s="596"/>
      <c r="U618" s="596"/>
      <c r="V618" s="596"/>
      <c r="W618" s="596"/>
      <c r="X618" s="596"/>
      <c r="Y618" s="596"/>
      <c r="Z618" s="596"/>
    </row>
    <row r="619" spans="1:26" ht="18.75" hidden="1">
      <c r="A619" s="606"/>
      <c r="B619" s="608"/>
      <c r="C619" s="608"/>
      <c r="D619" s="608"/>
      <c r="E619" s="710"/>
      <c r="F619" s="710"/>
      <c r="G619" s="361"/>
      <c r="H619" s="365" t="s">
        <v>34</v>
      </c>
      <c r="I619" s="609"/>
      <c r="J619" s="609">
        <v>0</v>
      </c>
      <c r="K619" s="163"/>
      <c r="L619" s="163"/>
      <c r="M619" s="163"/>
      <c r="N619" s="163"/>
      <c r="O619" s="163"/>
      <c r="P619" s="163"/>
      <c r="Q619" s="596"/>
      <c r="R619" s="596"/>
      <c r="S619" s="596"/>
      <c r="T619" s="596"/>
      <c r="U619" s="596"/>
      <c r="V619" s="596"/>
      <c r="W619" s="596"/>
      <c r="X619" s="596"/>
      <c r="Y619" s="596"/>
      <c r="Z619" s="596"/>
    </row>
    <row r="620" spans="1:26" ht="19.5" hidden="1">
      <c r="A620" s="712"/>
      <c r="B620" s="721"/>
      <c r="C620" s="714" t="s">
        <v>266</v>
      </c>
      <c r="D620" s="721"/>
      <c r="E620" s="721"/>
      <c r="F620" s="715"/>
      <c r="G620" s="716"/>
      <c r="H620" s="717" t="s">
        <v>46</v>
      </c>
      <c r="I620" s="718">
        <f ca="1">IFERROR(__xludf.DUMMYFUNCTION("IMPORTRANGE(""https://docs.google.com/spreadsheets/d/1QqKyyYR6Q21VydFLVH3TRQUabQu_ym0Zz7PgGX0-kHA/edit?usp=sharing"",""แผน!HL73"")"),0)</f>
        <v>0</v>
      </c>
      <c r="J620" s="718">
        <f t="shared" ref="J620:J621" si="258">J622+J624+J626</f>
        <v>0</v>
      </c>
      <c r="K620" s="719">
        <f t="shared" ref="K620:K621" ca="1" si="259">IF(I620&gt;0,J620*100/I620,0)</f>
        <v>0</v>
      </c>
      <c r="L620" s="720"/>
      <c r="M620" s="720"/>
      <c r="N620" s="720"/>
      <c r="O620" s="720"/>
      <c r="P620" s="720"/>
      <c r="Q620" s="570"/>
      <c r="R620" s="570"/>
      <c r="S620" s="570"/>
      <c r="T620" s="570"/>
      <c r="U620" s="570"/>
      <c r="V620" s="570"/>
      <c r="W620" s="570"/>
      <c r="X620" s="570"/>
      <c r="Y620" s="570"/>
      <c r="Z620" s="570"/>
    </row>
    <row r="621" spans="1:26" ht="19.5" hidden="1">
      <c r="A621" s="712"/>
      <c r="B621" s="721"/>
      <c r="C621" s="721" t="s">
        <v>267</v>
      </c>
      <c r="D621" s="721"/>
      <c r="E621" s="721"/>
      <c r="F621" s="715"/>
      <c r="G621" s="716"/>
      <c r="H621" s="717" t="s">
        <v>34</v>
      </c>
      <c r="I621" s="718">
        <f ca="1">IFERROR(__xludf.DUMMYFUNCTION("IMPORTRANGE(""https://docs.google.com/spreadsheets/d/1QqKyyYR6Q21VydFLVH3TRQUabQu_ym0Zz7PgGX0-kHA/edit?usp=sharing"",""แผน!HK73"")"),0)</f>
        <v>0</v>
      </c>
      <c r="J621" s="718">
        <f t="shared" si="258"/>
        <v>0</v>
      </c>
      <c r="K621" s="719">
        <f t="shared" ca="1" si="259"/>
        <v>0</v>
      </c>
      <c r="L621" s="720"/>
      <c r="M621" s="720"/>
      <c r="N621" s="720"/>
      <c r="O621" s="720"/>
      <c r="P621" s="720"/>
      <c r="Q621" s="570"/>
      <c r="R621" s="570"/>
      <c r="S621" s="570"/>
      <c r="T621" s="570"/>
      <c r="U621" s="570"/>
      <c r="V621" s="570"/>
      <c r="W621" s="570"/>
      <c r="X621" s="570"/>
      <c r="Y621" s="570"/>
      <c r="Z621" s="570"/>
    </row>
    <row r="622" spans="1:26" ht="18.75" hidden="1">
      <c r="A622" s="600"/>
      <c r="B622" s="610"/>
      <c r="C622" s="610"/>
      <c r="D622" s="736" t="s">
        <v>268</v>
      </c>
      <c r="E622" s="618"/>
      <c r="F622" s="618"/>
      <c r="G622" s="752"/>
      <c r="H622" s="754" t="s">
        <v>46</v>
      </c>
      <c r="I622" s="264"/>
      <c r="J622" s="210">
        <v>0</v>
      </c>
      <c r="K622" s="159"/>
      <c r="L622" s="159"/>
      <c r="M622" s="159"/>
      <c r="N622" s="159"/>
      <c r="O622" s="159"/>
      <c r="P622" s="159"/>
      <c r="Q622" s="570"/>
      <c r="R622" s="570"/>
      <c r="S622" s="570"/>
      <c r="T622" s="570"/>
      <c r="U622" s="570"/>
      <c r="V622" s="570"/>
      <c r="W622" s="570"/>
      <c r="X622" s="570"/>
      <c r="Y622" s="570"/>
      <c r="Z622" s="570"/>
    </row>
    <row r="623" spans="1:26" ht="18.75" hidden="1">
      <c r="A623" s="600"/>
      <c r="B623" s="610"/>
      <c r="C623" s="610"/>
      <c r="D623" s="610"/>
      <c r="E623" s="618"/>
      <c r="F623" s="618"/>
      <c r="G623" s="752"/>
      <c r="H623" s="754" t="s">
        <v>34</v>
      </c>
      <c r="I623" s="264"/>
      <c r="J623" s="210">
        <v>0</v>
      </c>
      <c r="K623" s="159"/>
      <c r="L623" s="159"/>
      <c r="M623" s="159"/>
      <c r="N623" s="159"/>
      <c r="O623" s="159"/>
      <c r="P623" s="159"/>
      <c r="Q623" s="570"/>
      <c r="R623" s="570"/>
      <c r="S623" s="570"/>
      <c r="T623" s="570"/>
      <c r="U623" s="570"/>
      <c r="V623" s="570"/>
      <c r="W623" s="570"/>
      <c r="X623" s="570"/>
      <c r="Y623" s="570"/>
      <c r="Z623" s="570"/>
    </row>
    <row r="624" spans="1:26" ht="18.75" hidden="1">
      <c r="A624" s="600"/>
      <c r="B624" s="610"/>
      <c r="C624" s="610"/>
      <c r="D624" s="736" t="s">
        <v>264</v>
      </c>
      <c r="E624" s="618"/>
      <c r="F624" s="618"/>
      <c r="G624" s="752"/>
      <c r="H624" s="754" t="s">
        <v>46</v>
      </c>
      <c r="I624" s="264"/>
      <c r="J624" s="210">
        <v>0</v>
      </c>
      <c r="K624" s="159"/>
      <c r="L624" s="159"/>
      <c r="M624" s="159"/>
      <c r="N624" s="159"/>
      <c r="O624" s="159"/>
      <c r="P624" s="159"/>
      <c r="Q624" s="570"/>
      <c r="R624" s="570"/>
      <c r="S624" s="570"/>
      <c r="T624" s="570"/>
      <c r="U624" s="570"/>
      <c r="V624" s="570"/>
      <c r="W624" s="570"/>
      <c r="X624" s="570"/>
      <c r="Y624" s="570"/>
      <c r="Z624" s="570"/>
    </row>
    <row r="625" spans="1:26" ht="18.75" hidden="1">
      <c r="A625" s="600"/>
      <c r="B625" s="610"/>
      <c r="C625" s="610"/>
      <c r="D625" s="610"/>
      <c r="E625" s="618"/>
      <c r="F625" s="618"/>
      <c r="G625" s="752"/>
      <c r="H625" s="754" t="s">
        <v>34</v>
      </c>
      <c r="I625" s="264"/>
      <c r="J625" s="210">
        <v>0</v>
      </c>
      <c r="K625" s="159"/>
      <c r="L625" s="159"/>
      <c r="M625" s="159"/>
      <c r="N625" s="159"/>
      <c r="O625" s="159"/>
      <c r="P625" s="159"/>
      <c r="Q625" s="570"/>
      <c r="R625" s="570"/>
      <c r="S625" s="570"/>
      <c r="T625" s="570"/>
      <c r="U625" s="570"/>
      <c r="V625" s="570"/>
      <c r="W625" s="570"/>
      <c r="X625" s="570"/>
      <c r="Y625" s="570"/>
      <c r="Z625" s="570"/>
    </row>
    <row r="626" spans="1:26" ht="18.75" hidden="1">
      <c r="A626" s="600"/>
      <c r="B626" s="610"/>
      <c r="C626" s="610"/>
      <c r="D626" s="736" t="s">
        <v>269</v>
      </c>
      <c r="E626" s="618"/>
      <c r="F626" s="618"/>
      <c r="G626" s="752"/>
      <c r="H626" s="754" t="s">
        <v>46</v>
      </c>
      <c r="I626" s="264"/>
      <c r="J626" s="210">
        <v>0</v>
      </c>
      <c r="K626" s="159"/>
      <c r="L626" s="159"/>
      <c r="M626" s="159"/>
      <c r="N626" s="159"/>
      <c r="O626" s="159"/>
      <c r="P626" s="159"/>
      <c r="Q626" s="570"/>
      <c r="R626" s="570"/>
      <c r="S626" s="570"/>
      <c r="T626" s="570"/>
      <c r="U626" s="570"/>
      <c r="V626" s="570"/>
      <c r="W626" s="570"/>
      <c r="X626" s="570"/>
      <c r="Y626" s="570"/>
      <c r="Z626" s="570"/>
    </row>
    <row r="627" spans="1:26" ht="18.75" hidden="1">
      <c r="A627" s="722"/>
      <c r="B627" s="723"/>
      <c r="C627" s="723"/>
      <c r="D627" s="723"/>
      <c r="E627" s="724"/>
      <c r="F627" s="724"/>
      <c r="G627" s="725"/>
      <c r="H627" s="420" t="s">
        <v>34</v>
      </c>
      <c r="I627" s="498"/>
      <c r="J627" s="422">
        <v>0</v>
      </c>
      <c r="K627" s="382"/>
      <c r="L627" s="382"/>
      <c r="M627" s="382"/>
      <c r="N627" s="382"/>
      <c r="O627" s="382"/>
      <c r="P627" s="382"/>
      <c r="Q627" s="570"/>
      <c r="R627" s="570"/>
      <c r="S627" s="570"/>
      <c r="T627" s="570"/>
      <c r="U627" s="570"/>
      <c r="V627" s="570"/>
      <c r="W627" s="570"/>
      <c r="X627" s="570"/>
      <c r="Y627" s="570"/>
      <c r="Z627" s="570"/>
    </row>
    <row r="628" spans="1:26" ht="19.5" hidden="1">
      <c r="A628" s="726">
        <v>7</v>
      </c>
      <c r="B628" s="727" t="s">
        <v>270</v>
      </c>
      <c r="C628" s="728"/>
      <c r="D628" s="728"/>
      <c r="E628" s="728"/>
      <c r="F628" s="728"/>
      <c r="G628" s="729"/>
      <c r="H628" s="730" t="s">
        <v>35</v>
      </c>
      <c r="I628" s="731">
        <f t="shared" ref="I628:J628" ca="1" si="260">I651</f>
        <v>0</v>
      </c>
      <c r="J628" s="731">
        <f t="shared" ca="1" si="260"/>
        <v>0</v>
      </c>
      <c r="K628" s="732">
        <f ca="1">IF(I628&gt;0,J628*100/I628,0)</f>
        <v>0</v>
      </c>
      <c r="L628" s="733"/>
      <c r="M628" s="733"/>
      <c r="N628" s="733"/>
      <c r="O628" s="733"/>
      <c r="P628" s="733"/>
      <c r="Q628" s="570"/>
      <c r="R628" s="570"/>
      <c r="S628" s="570"/>
      <c r="T628" s="570"/>
      <c r="U628" s="570"/>
      <c r="V628" s="570"/>
      <c r="W628" s="570"/>
      <c r="X628" s="570"/>
      <c r="Y628" s="570"/>
      <c r="Z628" s="570"/>
    </row>
    <row r="629" spans="1:26" ht="19.5" hidden="1">
      <c r="A629" s="589"/>
      <c r="B629" s="753"/>
      <c r="C629" s="753" t="s">
        <v>16</v>
      </c>
      <c r="D629" s="845" t="s">
        <v>17</v>
      </c>
      <c r="E629" s="846"/>
      <c r="F629" s="846"/>
      <c r="G629" s="185"/>
      <c r="H629" s="590" t="s">
        <v>12</v>
      </c>
      <c r="I629" s="264"/>
      <c r="J629" s="264"/>
      <c r="K629" s="495"/>
      <c r="L629" s="191">
        <f t="shared" ref="L629:N629" ca="1" si="261">L630+L631</f>
        <v>0</v>
      </c>
      <c r="M629" s="191">
        <f t="shared" si="261"/>
        <v>0</v>
      </c>
      <c r="N629" s="191">
        <f t="shared" si="261"/>
        <v>0</v>
      </c>
      <c r="O629" s="191">
        <f t="shared" ref="O629:O634" ca="1" si="262">IF(L629&gt;0,N629*100/L629,0)</f>
        <v>0</v>
      </c>
      <c r="P629" s="191">
        <f t="shared" ref="P629:P634" si="263">IF(M629&gt;0,N629*100/M629,0)</f>
        <v>0</v>
      </c>
      <c r="Q629" s="570"/>
      <c r="R629" s="570"/>
      <c r="S629" s="570"/>
      <c r="T629" s="570"/>
      <c r="U629" s="570"/>
      <c r="V629" s="570"/>
      <c r="W629" s="570"/>
      <c r="X629" s="570"/>
      <c r="Y629" s="570"/>
      <c r="Z629" s="570"/>
    </row>
    <row r="630" spans="1:26" ht="18.75" hidden="1">
      <c r="A630" s="591"/>
      <c r="B630" s="749"/>
      <c r="C630" s="749"/>
      <c r="D630" s="710"/>
      <c r="E630" s="749" t="s">
        <v>184</v>
      </c>
      <c r="F630" s="749"/>
      <c r="G630" s="595"/>
      <c r="H630" s="161" t="s">
        <v>12</v>
      </c>
      <c r="I630" s="609"/>
      <c r="J630" s="609"/>
      <c r="K630" s="90"/>
      <c r="L630" s="90">
        <f t="shared" ref="L630:N631" si="264">L633+L640</f>
        <v>0</v>
      </c>
      <c r="M630" s="90">
        <f t="shared" si="264"/>
        <v>0</v>
      </c>
      <c r="N630" s="90">
        <f t="shared" si="264"/>
        <v>0</v>
      </c>
      <c r="O630" s="90">
        <f t="shared" si="262"/>
        <v>0</v>
      </c>
      <c r="P630" s="90">
        <f t="shared" si="263"/>
        <v>0</v>
      </c>
      <c r="Q630" s="596"/>
      <c r="R630" s="596"/>
      <c r="S630" s="596"/>
      <c r="T630" s="596"/>
      <c r="U630" s="596"/>
      <c r="V630" s="596"/>
      <c r="W630" s="596"/>
      <c r="X630" s="596"/>
      <c r="Y630" s="596"/>
      <c r="Z630" s="596"/>
    </row>
    <row r="631" spans="1:26" ht="18.75" hidden="1">
      <c r="A631" s="591"/>
      <c r="B631" s="599"/>
      <c r="C631" s="749"/>
      <c r="D631" s="710"/>
      <c r="E631" s="749" t="s">
        <v>185</v>
      </c>
      <c r="F631" s="749"/>
      <c r="G631" s="595"/>
      <c r="H631" s="161" t="s">
        <v>12</v>
      </c>
      <c r="I631" s="609"/>
      <c r="J631" s="609"/>
      <c r="K631" s="90"/>
      <c r="L631" s="90">
        <f t="shared" ca="1" si="264"/>
        <v>0</v>
      </c>
      <c r="M631" s="90">
        <f t="shared" si="264"/>
        <v>0</v>
      </c>
      <c r="N631" s="90">
        <f t="shared" si="264"/>
        <v>0</v>
      </c>
      <c r="O631" s="90">
        <f t="shared" ca="1" si="262"/>
        <v>0</v>
      </c>
      <c r="P631" s="90">
        <f t="shared" si="263"/>
        <v>0</v>
      </c>
      <c r="Q631" s="596"/>
      <c r="R631" s="596"/>
      <c r="S631" s="596"/>
      <c r="T631" s="596"/>
      <c r="U631" s="596"/>
      <c r="V631" s="596"/>
      <c r="W631" s="596"/>
      <c r="X631" s="596"/>
      <c r="Y631" s="596"/>
      <c r="Z631" s="596"/>
    </row>
    <row r="632" spans="1:26" ht="18.75" hidden="1">
      <c r="A632" s="589"/>
      <c r="B632" s="567"/>
      <c r="C632" s="753"/>
      <c r="D632" s="598" t="s">
        <v>20</v>
      </c>
      <c r="E632" s="753"/>
      <c r="F632" s="753"/>
      <c r="G632" s="185"/>
      <c r="H632" s="157" t="s">
        <v>12</v>
      </c>
      <c r="I632" s="180"/>
      <c r="J632" s="180"/>
      <c r="K632" s="159"/>
      <c r="L632" s="495">
        <f t="shared" ref="L632:N632" ca="1" si="265">L633+L634</f>
        <v>0</v>
      </c>
      <c r="M632" s="495">
        <f t="shared" si="265"/>
        <v>0</v>
      </c>
      <c r="N632" s="495">
        <f t="shared" si="265"/>
        <v>0</v>
      </c>
      <c r="O632" s="495">
        <f t="shared" ca="1" si="262"/>
        <v>0</v>
      </c>
      <c r="P632" s="495">
        <f t="shared" si="263"/>
        <v>0</v>
      </c>
      <c r="Q632" s="570"/>
      <c r="R632" s="570"/>
      <c r="S632" s="570"/>
      <c r="T632" s="570"/>
      <c r="U632" s="570"/>
      <c r="V632" s="570"/>
      <c r="W632" s="570"/>
      <c r="X632" s="570"/>
      <c r="Y632" s="570"/>
      <c r="Z632" s="570"/>
    </row>
    <row r="633" spans="1:26" ht="18.75" hidden="1">
      <c r="A633" s="591"/>
      <c r="B633" s="599"/>
      <c r="C633" s="749"/>
      <c r="D633" s="710"/>
      <c r="E633" s="749" t="s">
        <v>184</v>
      </c>
      <c r="F633" s="749"/>
      <c r="G633" s="595"/>
      <c r="H633" s="161" t="s">
        <v>12</v>
      </c>
      <c r="I633" s="609"/>
      <c r="J633" s="609"/>
      <c r="K633" s="90"/>
      <c r="L633" s="90">
        <v>0</v>
      </c>
      <c r="M633" s="90">
        <v>0</v>
      </c>
      <c r="N633" s="90">
        <v>0</v>
      </c>
      <c r="O633" s="90">
        <f t="shared" si="262"/>
        <v>0</v>
      </c>
      <c r="P633" s="90">
        <f t="shared" si="263"/>
        <v>0</v>
      </c>
      <c r="Q633" s="596"/>
      <c r="R633" s="596"/>
      <c r="S633" s="596"/>
      <c r="T633" s="596"/>
      <c r="U633" s="596"/>
      <c r="V633" s="596"/>
      <c r="W633" s="596"/>
      <c r="X633" s="596"/>
      <c r="Y633" s="596"/>
      <c r="Z633" s="596"/>
    </row>
    <row r="634" spans="1:26" ht="18.75" hidden="1">
      <c r="A634" s="591"/>
      <c r="B634" s="599"/>
      <c r="C634" s="749"/>
      <c r="D634" s="710"/>
      <c r="E634" s="749" t="s">
        <v>185</v>
      </c>
      <c r="F634" s="749"/>
      <c r="G634" s="595"/>
      <c r="H634" s="161" t="s">
        <v>12</v>
      </c>
      <c r="I634" s="609"/>
      <c r="J634" s="609"/>
      <c r="K634" s="90"/>
      <c r="L634" s="90">
        <f ca="1">IFERROR(__xludf.DUMMYFUNCTION("IMPORTRANGE(""https://docs.google.com/spreadsheets/d/1QqKyyYR6Q21VydFLVH3TRQUabQu_ym0Zz7PgGX0-kHA/edit?usp=sharing"",""แผน!HN73"")"),0)</f>
        <v>0</v>
      </c>
      <c r="M634" s="90">
        <v>0</v>
      </c>
      <c r="N634" s="90">
        <f>N635+N636+N637+N638</f>
        <v>0</v>
      </c>
      <c r="O634" s="90">
        <f t="shared" ca="1" si="262"/>
        <v>0</v>
      </c>
      <c r="P634" s="90">
        <f t="shared" si="263"/>
        <v>0</v>
      </c>
      <c r="Q634" s="596"/>
      <c r="R634" s="596"/>
      <c r="S634" s="596"/>
      <c r="T634" s="596"/>
      <c r="U634" s="596"/>
      <c r="V634" s="596"/>
      <c r="W634" s="596"/>
      <c r="X634" s="596"/>
      <c r="Y634" s="596"/>
      <c r="Z634" s="596"/>
    </row>
    <row r="635" spans="1:26" ht="18.75" hidden="1">
      <c r="A635" s="566"/>
      <c r="B635" s="567"/>
      <c r="C635" s="753"/>
      <c r="D635" s="753"/>
      <c r="E635" s="753"/>
      <c r="F635" s="753" t="s">
        <v>186</v>
      </c>
      <c r="G635" s="185"/>
      <c r="H635" s="157" t="s">
        <v>12</v>
      </c>
      <c r="I635" s="264"/>
      <c r="J635" s="264"/>
      <c r="K635" s="495"/>
      <c r="L635" s="495"/>
      <c r="M635" s="495"/>
      <c r="N635" s="816">
        <v>0</v>
      </c>
      <c r="O635" s="495"/>
      <c r="P635" s="495"/>
      <c r="Q635" s="570"/>
      <c r="R635" s="570"/>
      <c r="S635" s="570"/>
      <c r="T635" s="570"/>
      <c r="U635" s="570"/>
      <c r="V635" s="570"/>
      <c r="W635" s="570"/>
      <c r="X635" s="570"/>
      <c r="Y635" s="570"/>
      <c r="Z635" s="570"/>
    </row>
    <row r="636" spans="1:26" ht="18.75" hidden="1">
      <c r="A636" s="566"/>
      <c r="B636" s="567"/>
      <c r="C636" s="753"/>
      <c r="D636" s="753"/>
      <c r="E636" s="753"/>
      <c r="F636" s="753" t="s">
        <v>187</v>
      </c>
      <c r="G636" s="185"/>
      <c r="H636" s="157" t="s">
        <v>12</v>
      </c>
      <c r="I636" s="264"/>
      <c r="J636" s="264"/>
      <c r="K636" s="495"/>
      <c r="L636" s="495"/>
      <c r="M636" s="495"/>
      <c r="N636" s="816">
        <v>0</v>
      </c>
      <c r="O636" s="495"/>
      <c r="P636" s="495"/>
      <c r="Q636" s="570"/>
      <c r="R636" s="570"/>
      <c r="S636" s="570"/>
      <c r="T636" s="570"/>
      <c r="U636" s="570"/>
      <c r="V636" s="570"/>
      <c r="W636" s="570"/>
      <c r="X636" s="570"/>
      <c r="Y636" s="570"/>
      <c r="Z636" s="570"/>
    </row>
    <row r="637" spans="1:26" ht="18.75" hidden="1">
      <c r="A637" s="566"/>
      <c r="B637" s="567"/>
      <c r="C637" s="753"/>
      <c r="D637" s="753"/>
      <c r="E637" s="753"/>
      <c r="F637" s="753" t="s">
        <v>188</v>
      </c>
      <c r="G637" s="185"/>
      <c r="H637" s="157" t="s">
        <v>12</v>
      </c>
      <c r="I637" s="264"/>
      <c r="J637" s="264"/>
      <c r="K637" s="495"/>
      <c r="L637" s="495"/>
      <c r="M637" s="495"/>
      <c r="N637" s="816">
        <v>0</v>
      </c>
      <c r="O637" s="495"/>
      <c r="P637" s="495"/>
      <c r="Q637" s="570"/>
      <c r="R637" s="570"/>
      <c r="S637" s="570"/>
      <c r="T637" s="570"/>
      <c r="U637" s="570"/>
      <c r="V637" s="570"/>
      <c r="W637" s="570"/>
      <c r="X637" s="570"/>
      <c r="Y637" s="570"/>
      <c r="Z637" s="570"/>
    </row>
    <row r="638" spans="1:26" ht="18.75" hidden="1">
      <c r="A638" s="566"/>
      <c r="B638" s="567"/>
      <c r="C638" s="753"/>
      <c r="D638" s="753"/>
      <c r="E638" s="753"/>
      <c r="F638" s="753" t="s">
        <v>189</v>
      </c>
      <c r="G638" s="185"/>
      <c r="H638" s="157" t="s">
        <v>12</v>
      </c>
      <c r="I638" s="264"/>
      <c r="J638" s="264"/>
      <c r="K638" s="495"/>
      <c r="L638" s="495"/>
      <c r="M638" s="495"/>
      <c r="N638" s="816">
        <v>0</v>
      </c>
      <c r="O638" s="495"/>
      <c r="P638" s="495"/>
      <c r="Q638" s="570"/>
      <c r="R638" s="570"/>
      <c r="S638" s="570"/>
      <c r="T638" s="570"/>
      <c r="U638" s="570"/>
      <c r="V638" s="570"/>
      <c r="W638" s="570"/>
      <c r="X638" s="570"/>
      <c r="Y638" s="570"/>
      <c r="Z638" s="570"/>
    </row>
    <row r="639" spans="1:26" ht="18.75" hidden="1">
      <c r="A639" s="589"/>
      <c r="B639" s="567"/>
      <c r="C639" s="753"/>
      <c r="D639" s="598" t="s">
        <v>21</v>
      </c>
      <c r="E639" s="753"/>
      <c r="F639" s="753"/>
      <c r="G639" s="185"/>
      <c r="H639" s="164" t="s">
        <v>12</v>
      </c>
      <c r="I639" s="180"/>
      <c r="J639" s="180"/>
      <c r="K639" s="159"/>
      <c r="L639" s="495">
        <f t="shared" ref="L639:N639" ca="1" si="266">L640+L641</f>
        <v>0</v>
      </c>
      <c r="M639" s="495">
        <f t="shared" si="266"/>
        <v>0</v>
      </c>
      <c r="N639" s="495">
        <f t="shared" si="266"/>
        <v>0</v>
      </c>
      <c r="O639" s="495">
        <f t="shared" ref="O639:O641" ca="1" si="267">IF(L639&gt;0,N639*100/L639,0)</f>
        <v>0</v>
      </c>
      <c r="P639" s="495">
        <f t="shared" ref="P639:P641" si="268">IF(M639&gt;0,N639*100/M639,0)</f>
        <v>0</v>
      </c>
      <c r="Q639" s="570"/>
      <c r="R639" s="570"/>
      <c r="S639" s="570"/>
      <c r="T639" s="570"/>
      <c r="U639" s="570"/>
      <c r="V639" s="570"/>
      <c r="W639" s="570"/>
      <c r="X639" s="570"/>
      <c r="Y639" s="570"/>
      <c r="Z639" s="570"/>
    </row>
    <row r="640" spans="1:26" ht="18.75" hidden="1">
      <c r="A640" s="591"/>
      <c r="B640" s="599"/>
      <c r="C640" s="749"/>
      <c r="D640" s="749"/>
      <c r="E640" s="749" t="s">
        <v>18</v>
      </c>
      <c r="F640" s="749"/>
      <c r="G640" s="595"/>
      <c r="H640" s="161" t="s">
        <v>12</v>
      </c>
      <c r="I640" s="162"/>
      <c r="J640" s="162"/>
      <c r="K640" s="163"/>
      <c r="L640" s="90">
        <v>0</v>
      </c>
      <c r="M640" s="90">
        <v>0</v>
      </c>
      <c r="N640" s="90">
        <v>0</v>
      </c>
      <c r="O640" s="90">
        <f t="shared" si="267"/>
        <v>0</v>
      </c>
      <c r="P640" s="90">
        <f t="shared" si="268"/>
        <v>0</v>
      </c>
      <c r="Q640" s="596"/>
      <c r="R640" s="596"/>
      <c r="S640" s="596"/>
      <c r="T640" s="596"/>
      <c r="U640" s="596"/>
      <c r="V640" s="596"/>
      <c r="W640" s="596"/>
      <c r="X640" s="596"/>
      <c r="Y640" s="596"/>
      <c r="Z640" s="596"/>
    </row>
    <row r="641" spans="1:26" ht="18.75" hidden="1">
      <c r="A641" s="591"/>
      <c r="B641" s="599"/>
      <c r="C641" s="749"/>
      <c r="D641" s="749"/>
      <c r="E641" s="749" t="s">
        <v>19</v>
      </c>
      <c r="F641" s="749"/>
      <c r="G641" s="595"/>
      <c r="H641" s="165" t="s">
        <v>12</v>
      </c>
      <c r="I641" s="162"/>
      <c r="J641" s="162"/>
      <c r="K641" s="163"/>
      <c r="L641" s="90">
        <f ca="1">IFERROR(__xludf.DUMMYFUNCTION("IMPORTRANGE(""https://docs.google.com/spreadsheets/d/1QqKyyYR6Q21VydFLVH3TRQUabQu_ym0Zz7PgGX0-kHA/edit?usp=sharing"",""แผน!HQ73"")"),0)</f>
        <v>0</v>
      </c>
      <c r="M641" s="90">
        <v>0</v>
      </c>
      <c r="N641" s="90">
        <v>0</v>
      </c>
      <c r="O641" s="90">
        <f t="shared" ca="1" si="267"/>
        <v>0</v>
      </c>
      <c r="P641" s="90">
        <f t="shared" si="268"/>
        <v>0</v>
      </c>
      <c r="Q641" s="596"/>
      <c r="R641" s="596"/>
      <c r="S641" s="596"/>
      <c r="T641" s="596"/>
      <c r="U641" s="596"/>
      <c r="V641" s="596"/>
      <c r="W641" s="596"/>
      <c r="X641" s="596"/>
      <c r="Y641" s="596"/>
      <c r="Z641" s="596"/>
    </row>
    <row r="642" spans="1:26" ht="19.5" hidden="1">
      <c r="A642" s="600"/>
      <c r="B642" s="610"/>
      <c r="C642" s="753" t="s">
        <v>16</v>
      </c>
      <c r="D642" s="841" t="s">
        <v>38</v>
      </c>
      <c r="E642" s="751"/>
      <c r="F642" s="751"/>
      <c r="G642" s="605"/>
      <c r="H642" s="752"/>
      <c r="I642" s="180"/>
      <c r="J642" s="180"/>
      <c r="K642" s="159"/>
      <c r="L642" s="159"/>
      <c r="M642" s="159"/>
      <c r="N642" s="159"/>
      <c r="O642" s="159"/>
      <c r="P642" s="159"/>
      <c r="Q642" s="570"/>
      <c r="R642" s="570"/>
      <c r="S642" s="570"/>
      <c r="T642" s="570"/>
      <c r="U642" s="570"/>
      <c r="V642" s="570"/>
      <c r="W642" s="570"/>
      <c r="X642" s="570"/>
      <c r="Y642" s="570"/>
      <c r="Z642" s="570"/>
    </row>
    <row r="643" spans="1:26" ht="18.75" hidden="1">
      <c r="A643" s="734"/>
      <c r="B643" s="567"/>
      <c r="C643" s="753"/>
      <c r="D643" s="618"/>
      <c r="E643" s="736" t="s">
        <v>271</v>
      </c>
      <c r="F643" s="618"/>
      <c r="G643" s="752"/>
      <c r="H643" s="754" t="s">
        <v>272</v>
      </c>
      <c r="I643" s="264">
        <f ca="1">IFERROR(__xludf.DUMMYFUNCTION("IMPORTRANGE(""https://docs.google.com/spreadsheets/d/1QqKyyYR6Q21VydFLVH3TRQUabQu_ym0Zz7PgGX0-kHA/edit?usp=sharing"",""แผน!HR73"")"),0)</f>
        <v>0</v>
      </c>
      <c r="J643" s="210">
        <v>0</v>
      </c>
      <c r="K643" s="159">
        <f t="shared" ref="K643:K652" ca="1" si="269">IF(I643&gt;0,J643*100/I643,0)</f>
        <v>0</v>
      </c>
      <c r="L643" s="159"/>
      <c r="M643" s="159"/>
      <c r="N643" s="495"/>
      <c r="O643" s="159"/>
      <c r="P643" s="159"/>
      <c r="Q643" s="570"/>
      <c r="R643" s="570"/>
      <c r="S643" s="570"/>
      <c r="T643" s="570"/>
      <c r="U643" s="570"/>
      <c r="V643" s="570"/>
      <c r="W643" s="570"/>
      <c r="X643" s="570"/>
      <c r="Y643" s="570"/>
      <c r="Z643" s="570"/>
    </row>
    <row r="644" spans="1:26" ht="18.75" hidden="1">
      <c r="A644" s="734"/>
      <c r="B644" s="567"/>
      <c r="C644" s="753"/>
      <c r="D644" s="618"/>
      <c r="E644" s="736" t="s">
        <v>273</v>
      </c>
      <c r="F644" s="618"/>
      <c r="G644" s="752"/>
      <c r="H644" s="754" t="s">
        <v>274</v>
      </c>
      <c r="I644" s="264">
        <f ca="1">IFERROR(__xludf.DUMMYFUNCTION("IMPORTRANGE(""https://docs.google.com/spreadsheets/d/1QqKyyYR6Q21VydFLVH3TRQUabQu_ym0Zz7PgGX0-kHA/edit?usp=sharing"",""แผน!HR73"")"),0)</f>
        <v>0</v>
      </c>
      <c r="J644" s="210">
        <v>0</v>
      </c>
      <c r="K644" s="159">
        <f t="shared" ca="1" si="269"/>
        <v>0</v>
      </c>
      <c r="L644" s="159"/>
      <c r="M644" s="159"/>
      <c r="N644" s="495"/>
      <c r="O644" s="159"/>
      <c r="P644" s="159"/>
      <c r="Q644" s="570"/>
      <c r="R644" s="570"/>
      <c r="S644" s="570"/>
      <c r="T644" s="570"/>
      <c r="U644" s="570"/>
      <c r="V644" s="570"/>
      <c r="W644" s="570"/>
      <c r="X644" s="570"/>
      <c r="Y644" s="570"/>
      <c r="Z644" s="570"/>
    </row>
    <row r="645" spans="1:26" ht="18.75" hidden="1">
      <c r="A645" s="734"/>
      <c r="B645" s="567"/>
      <c r="C645" s="753"/>
      <c r="D645" s="618"/>
      <c r="E645" s="736" t="s">
        <v>275</v>
      </c>
      <c r="F645" s="618"/>
      <c r="G645" s="752"/>
      <c r="H645" s="754" t="s">
        <v>34</v>
      </c>
      <c r="I645" s="264">
        <v>0</v>
      </c>
      <c r="J645" s="264">
        <f ca="1">IFERROR(__xludf.DUMMYFUNCTION("IMPORTRANGE(""https://docs.google.com/spreadsheets/d/1XWAQStnk-4SwqDmLtmXYiTMKHgktTP8We1SCoS47DrQ/edit?usp=sharing"",""จัดที่ดิน!AS73"")"),0)</f>
        <v>0</v>
      </c>
      <c r="K645" s="159">
        <f t="shared" si="269"/>
        <v>0</v>
      </c>
      <c r="L645" s="159"/>
      <c r="M645" s="159"/>
      <c r="N645" s="495"/>
      <c r="O645" s="159"/>
      <c r="P645" s="159"/>
      <c r="Q645" s="570"/>
      <c r="R645" s="570"/>
      <c r="S645" s="570"/>
      <c r="T645" s="570"/>
      <c r="U645" s="570"/>
      <c r="V645" s="570"/>
      <c r="W645" s="570"/>
      <c r="X645" s="570"/>
      <c r="Y645" s="570"/>
      <c r="Z645" s="570"/>
    </row>
    <row r="646" spans="1:26" ht="18.75" hidden="1">
      <c r="A646" s="734"/>
      <c r="B646" s="567"/>
      <c r="C646" s="753"/>
      <c r="D646" s="618"/>
      <c r="E646" s="618"/>
      <c r="F646" s="618"/>
      <c r="G646" s="752"/>
      <c r="H646" s="754" t="s">
        <v>46</v>
      </c>
      <c r="I646" s="264">
        <v>0</v>
      </c>
      <c r="J646" s="264">
        <f ca="1">IFERROR(__xludf.DUMMYFUNCTION("IMPORTRANGE(""https://docs.google.com/spreadsheets/d/1XWAQStnk-4SwqDmLtmXYiTMKHgktTP8We1SCoS47DrQ/edit?usp=sharing"",""จัดที่ดิน!AT73"")"),0)</f>
        <v>0</v>
      </c>
      <c r="K646" s="495">
        <f t="shared" si="269"/>
        <v>0</v>
      </c>
      <c r="L646" s="159"/>
      <c r="M646" s="159"/>
      <c r="N646" s="495"/>
      <c r="O646" s="159"/>
      <c r="P646" s="159"/>
      <c r="Q646" s="570"/>
      <c r="R646" s="570"/>
      <c r="S646" s="570"/>
      <c r="T646" s="570"/>
      <c r="U646" s="570"/>
      <c r="V646" s="570"/>
      <c r="W646" s="570"/>
      <c r="X646" s="570"/>
      <c r="Y646" s="570"/>
      <c r="Z646" s="570"/>
    </row>
    <row r="647" spans="1:26" ht="18.75" hidden="1">
      <c r="A647" s="734"/>
      <c r="B647" s="567"/>
      <c r="C647" s="753"/>
      <c r="D647" s="618"/>
      <c r="E647" s="736" t="s">
        <v>162</v>
      </c>
      <c r="F647" s="618"/>
      <c r="G647" s="752"/>
      <c r="H647" s="754" t="s">
        <v>35</v>
      </c>
      <c r="I647" s="264">
        <f ca="1">IFERROR(__xludf.DUMMYFUNCTION("IMPORTRANGE(""https://docs.google.com/spreadsheets/d/1QqKyyYR6Q21VydFLVH3TRQUabQu_ym0Zz7PgGX0-kHA/edit?usp=sharing"",""แผน!HS73"")"),0)</f>
        <v>0</v>
      </c>
      <c r="J647" s="264">
        <f ca="1">IFERROR(__xludf.DUMMYFUNCTION("IMPORTRANGE(""https://docs.google.com/spreadsheets/d/1XWAQStnk-4SwqDmLtmXYiTMKHgktTP8We1SCoS47DrQ/edit?usp=sharing"",""จัดที่ดิน!AU73"")"),0)</f>
        <v>0</v>
      </c>
      <c r="K647" s="159">
        <f t="shared" ca="1" si="269"/>
        <v>0</v>
      </c>
      <c r="L647" s="159"/>
      <c r="M647" s="159"/>
      <c r="N647" s="159"/>
      <c r="O647" s="159"/>
      <c r="P647" s="159"/>
      <c r="Q647" s="570"/>
      <c r="R647" s="570"/>
      <c r="S647" s="570"/>
      <c r="T647" s="570"/>
      <c r="U647" s="570"/>
      <c r="V647" s="570"/>
      <c r="W647" s="570"/>
      <c r="X647" s="570"/>
      <c r="Y647" s="570"/>
      <c r="Z647" s="570"/>
    </row>
    <row r="648" spans="1:26" ht="18.75" hidden="1">
      <c r="A648" s="734"/>
      <c r="B648" s="567"/>
      <c r="C648" s="753"/>
      <c r="D648" s="618"/>
      <c r="E648" s="618"/>
      <c r="F648" s="618"/>
      <c r="G648" s="752"/>
      <c r="H648" s="754" t="s">
        <v>46</v>
      </c>
      <c r="I648" s="264">
        <v>0</v>
      </c>
      <c r="J648" s="264">
        <f ca="1">IFERROR(__xludf.DUMMYFUNCTION("IMPORTRANGE(""https://docs.google.com/spreadsheets/d/1XWAQStnk-4SwqDmLtmXYiTMKHgktTP8We1SCoS47DrQ/edit?usp=sharing"",""จัดที่ดิน!AV73"")"),0)</f>
        <v>0</v>
      </c>
      <c r="K648" s="495">
        <f t="shared" si="269"/>
        <v>0</v>
      </c>
      <c r="L648" s="159"/>
      <c r="M648" s="159"/>
      <c r="N648" s="159"/>
      <c r="O648" s="159"/>
      <c r="P648" s="159"/>
      <c r="Q648" s="570"/>
      <c r="R648" s="570"/>
      <c r="S648" s="570"/>
      <c r="T648" s="570"/>
      <c r="U648" s="570"/>
      <c r="V648" s="570"/>
      <c r="W648" s="570"/>
      <c r="X648" s="570"/>
      <c r="Y648" s="570"/>
      <c r="Z648" s="570"/>
    </row>
    <row r="649" spans="1:26" ht="18.75" hidden="1">
      <c r="A649" s="734"/>
      <c r="B649" s="567"/>
      <c r="C649" s="753"/>
      <c r="D649" s="618"/>
      <c r="E649" s="736" t="s">
        <v>276</v>
      </c>
      <c r="F649" s="618"/>
      <c r="G649" s="752"/>
      <c r="H649" s="754" t="s">
        <v>35</v>
      </c>
      <c r="I649" s="264">
        <f ca="1">IFERROR(__xludf.DUMMYFUNCTION("IMPORTRANGE(""https://docs.google.com/spreadsheets/d/1QqKyyYR6Q21VydFLVH3TRQUabQu_ym0Zz7PgGX0-kHA/edit?usp=sharing"",""แผน!HS73"")"),0)</f>
        <v>0</v>
      </c>
      <c r="J649" s="264">
        <f ca="1">IFERROR(__xludf.DUMMYFUNCTION("IMPORTRANGE(""https://docs.google.com/spreadsheets/d/1XWAQStnk-4SwqDmLtmXYiTMKHgktTP8We1SCoS47DrQ/edit?usp=sharing"",""จัดที่ดิน!AW73"")"),0)</f>
        <v>0</v>
      </c>
      <c r="K649" s="159">
        <f t="shared" ca="1" si="269"/>
        <v>0</v>
      </c>
      <c r="L649" s="159"/>
      <c r="M649" s="159"/>
      <c r="N649" s="159"/>
      <c r="O649" s="159"/>
      <c r="P649" s="159"/>
      <c r="Q649" s="570"/>
      <c r="R649" s="570"/>
      <c r="S649" s="570"/>
      <c r="T649" s="570"/>
      <c r="U649" s="570"/>
      <c r="V649" s="570"/>
      <c r="W649" s="570"/>
      <c r="X649" s="570"/>
      <c r="Y649" s="570"/>
      <c r="Z649" s="570"/>
    </row>
    <row r="650" spans="1:26" ht="18.75" hidden="1">
      <c r="A650" s="734"/>
      <c r="B650" s="567"/>
      <c r="C650" s="753"/>
      <c r="D650" s="618"/>
      <c r="E650" s="618"/>
      <c r="F650" s="618"/>
      <c r="G650" s="752"/>
      <c r="H650" s="754" t="s">
        <v>46</v>
      </c>
      <c r="I650" s="264">
        <v>0</v>
      </c>
      <c r="J650" s="264">
        <f ca="1">IFERROR(__xludf.DUMMYFUNCTION("IMPORTRANGE(""https://docs.google.com/spreadsheets/d/1XWAQStnk-4SwqDmLtmXYiTMKHgktTP8We1SCoS47DrQ/edit?usp=sharing"",""จัดที่ดิน!AX73"")"),0)</f>
        <v>0</v>
      </c>
      <c r="K650" s="495">
        <f t="shared" si="269"/>
        <v>0</v>
      </c>
      <c r="L650" s="159"/>
      <c r="M650" s="159"/>
      <c r="N650" s="159"/>
      <c r="O650" s="159"/>
      <c r="P650" s="159"/>
      <c r="Q650" s="570"/>
      <c r="R650" s="570"/>
      <c r="S650" s="570"/>
      <c r="T650" s="570"/>
      <c r="U650" s="570"/>
      <c r="V650" s="570"/>
      <c r="W650" s="570"/>
      <c r="X650" s="570"/>
      <c r="Y650" s="570"/>
      <c r="Z650" s="570"/>
    </row>
    <row r="651" spans="1:26" ht="18.75" hidden="1">
      <c r="A651" s="734"/>
      <c r="B651" s="567"/>
      <c r="C651" s="753"/>
      <c r="D651" s="618"/>
      <c r="E651" s="736" t="s">
        <v>277</v>
      </c>
      <c r="F651" s="618"/>
      <c r="G651" s="752"/>
      <c r="H651" s="754" t="s">
        <v>35</v>
      </c>
      <c r="I651" s="264">
        <f ca="1">IFERROR(__xludf.DUMMYFUNCTION("IMPORTRANGE(""https://docs.google.com/spreadsheets/d/1QqKyyYR6Q21VydFLVH3TRQUabQu_ym0Zz7PgGX0-kHA/edit?usp=sharing"",""แผน!HS73"")"),0)</f>
        <v>0</v>
      </c>
      <c r="J651" s="264">
        <f ca="1">IFERROR(__xludf.DUMMYFUNCTION("IMPORTRANGE(""https://docs.google.com/spreadsheets/d/1XWAQStnk-4SwqDmLtmXYiTMKHgktTP8We1SCoS47DrQ/edit?usp=sharing"",""จัดที่ดิน!AY73"")"),0)</f>
        <v>0</v>
      </c>
      <c r="K651" s="159">
        <f t="shared" ca="1" si="269"/>
        <v>0</v>
      </c>
      <c r="L651" s="159"/>
      <c r="M651" s="159"/>
      <c r="N651" s="159"/>
      <c r="O651" s="159"/>
      <c r="P651" s="159"/>
      <c r="Q651" s="570"/>
      <c r="R651" s="570"/>
      <c r="S651" s="570"/>
      <c r="T651" s="570"/>
      <c r="U651" s="570"/>
      <c r="V651" s="570"/>
      <c r="W651" s="570"/>
      <c r="X651" s="570"/>
      <c r="Y651" s="570"/>
      <c r="Z651" s="570"/>
    </row>
    <row r="652" spans="1:26" ht="18.75" hidden="1">
      <c r="A652" s="737"/>
      <c r="B652" s="738"/>
      <c r="C652" s="739"/>
      <c r="D652" s="724"/>
      <c r="E652" s="724"/>
      <c r="F652" s="724"/>
      <c r="G652" s="725"/>
      <c r="H652" s="497" t="s">
        <v>46</v>
      </c>
      <c r="I652" s="498">
        <v>0</v>
      </c>
      <c r="J652" s="498">
        <f ca="1">IFERROR(__xludf.DUMMYFUNCTION("IMPORTRANGE(""https://docs.google.com/spreadsheets/d/1XWAQStnk-4SwqDmLtmXYiTMKHgktTP8We1SCoS47DrQ/edit?usp=sharing"",""จัดที่ดิน!AZ73"")"),0)</f>
        <v>0</v>
      </c>
      <c r="K652" s="499">
        <f t="shared" si="269"/>
        <v>0</v>
      </c>
      <c r="L652" s="382"/>
      <c r="M652" s="382"/>
      <c r="N652" s="382"/>
      <c r="O652" s="382"/>
      <c r="P652" s="382"/>
      <c r="Q652" s="570"/>
      <c r="R652" s="570"/>
      <c r="S652" s="570"/>
      <c r="T652" s="570"/>
      <c r="U652" s="570"/>
      <c r="V652" s="570"/>
      <c r="W652" s="570"/>
      <c r="X652" s="570"/>
      <c r="Y652" s="570"/>
      <c r="Z652" s="570"/>
    </row>
    <row r="653" spans="1:26" ht="19.5">
      <c r="A653" s="740">
        <v>8</v>
      </c>
      <c r="B653" s="727" t="s">
        <v>278</v>
      </c>
      <c r="C653" s="728"/>
      <c r="D653" s="728"/>
      <c r="E653" s="728"/>
      <c r="F653" s="728"/>
      <c r="G653" s="729"/>
      <c r="H653" s="729"/>
      <c r="I653" s="741"/>
      <c r="J653" s="741"/>
      <c r="K653" s="733"/>
      <c r="L653" s="733"/>
      <c r="M653" s="733"/>
      <c r="N653" s="733"/>
      <c r="O653" s="733"/>
      <c r="P653" s="733"/>
      <c r="Q653" s="570"/>
      <c r="R653" s="570"/>
      <c r="S653" s="570"/>
      <c r="T653" s="570"/>
      <c r="U653" s="570"/>
      <c r="V653" s="570"/>
      <c r="W653" s="570"/>
      <c r="X653" s="570"/>
      <c r="Y653" s="570"/>
      <c r="Z653" s="570"/>
    </row>
    <row r="654" spans="1:26" ht="19.5">
      <c r="A654" s="665"/>
      <c r="B654" s="664" t="s">
        <v>279</v>
      </c>
      <c r="C654" s="665"/>
      <c r="D654" s="665"/>
      <c r="E654" s="665"/>
      <c r="F654" s="665"/>
      <c r="G654" s="666"/>
      <c r="H654" s="697" t="s">
        <v>46</v>
      </c>
      <c r="I654" s="698">
        <f t="shared" ref="I654:J654" ca="1" si="270">I669</f>
        <v>100</v>
      </c>
      <c r="J654" s="698">
        <f t="shared" si="270"/>
        <v>0</v>
      </c>
      <c r="K654" s="669">
        <f ca="1">IF(I654&gt;0,J654*100/I654,0)</f>
        <v>0</v>
      </c>
      <c r="L654" s="670"/>
      <c r="M654" s="670"/>
      <c r="N654" s="670"/>
      <c r="O654" s="670"/>
      <c r="P654" s="670"/>
      <c r="Q654" s="570"/>
      <c r="R654" s="570"/>
      <c r="S654" s="570"/>
      <c r="T654" s="570"/>
      <c r="U654" s="570"/>
      <c r="V654" s="570"/>
      <c r="W654" s="570"/>
      <c r="X654" s="570"/>
      <c r="Y654" s="570"/>
      <c r="Z654" s="570"/>
    </row>
    <row r="655" spans="1:26" ht="19.5">
      <c r="A655" s="589"/>
      <c r="B655" s="753"/>
      <c r="C655" s="753" t="s">
        <v>16</v>
      </c>
      <c r="D655" s="845" t="s">
        <v>17</v>
      </c>
      <c r="E655" s="846"/>
      <c r="F655" s="846"/>
      <c r="G655" s="185"/>
      <c r="H655" s="590" t="s">
        <v>12</v>
      </c>
      <c r="I655" s="264"/>
      <c r="J655" s="264"/>
      <c r="K655" s="495"/>
      <c r="L655" s="191">
        <f t="shared" ref="L655:N655" ca="1" si="271">L656+L657</f>
        <v>12400</v>
      </c>
      <c r="M655" s="191">
        <f t="shared" si="271"/>
        <v>0</v>
      </c>
      <c r="N655" s="191">
        <f t="shared" si="271"/>
        <v>0</v>
      </c>
      <c r="O655" s="191">
        <f t="shared" ref="O655:O660" ca="1" si="272">IF(L655&gt;0,N655*100/L655,0)</f>
        <v>0</v>
      </c>
      <c r="P655" s="191">
        <f t="shared" ref="P655:P660" si="273">IF(M655&gt;0,N655*100/M655,0)</f>
        <v>0</v>
      </c>
      <c r="Q655" s="570"/>
      <c r="R655" s="570"/>
      <c r="S655" s="570"/>
      <c r="T655" s="570"/>
      <c r="U655" s="570"/>
      <c r="V655" s="570"/>
      <c r="W655" s="570"/>
      <c r="X655" s="570"/>
      <c r="Y655" s="570"/>
      <c r="Z655" s="570"/>
    </row>
    <row r="656" spans="1:26" ht="18.75" hidden="1">
      <c r="A656" s="591"/>
      <c r="B656" s="749"/>
      <c r="C656" s="749"/>
      <c r="D656" s="710"/>
      <c r="E656" s="749" t="s">
        <v>184</v>
      </c>
      <c r="F656" s="749"/>
      <c r="G656" s="595"/>
      <c r="H656" s="161" t="s">
        <v>12</v>
      </c>
      <c r="I656" s="609"/>
      <c r="J656" s="609"/>
      <c r="K656" s="90"/>
      <c r="L656" s="90">
        <f t="shared" ref="L656:N657" si="274">L659+L666</f>
        <v>0</v>
      </c>
      <c r="M656" s="90">
        <f t="shared" si="274"/>
        <v>0</v>
      </c>
      <c r="N656" s="90">
        <f t="shared" si="274"/>
        <v>0</v>
      </c>
      <c r="O656" s="90">
        <f t="shared" si="272"/>
        <v>0</v>
      </c>
      <c r="P656" s="90">
        <f t="shared" si="273"/>
        <v>0</v>
      </c>
      <c r="Q656" s="596"/>
      <c r="R656" s="596"/>
      <c r="S656" s="596"/>
      <c r="T656" s="596"/>
      <c r="U656" s="596"/>
      <c r="V656" s="596"/>
      <c r="W656" s="596"/>
      <c r="X656" s="596"/>
      <c r="Y656" s="596"/>
      <c r="Z656" s="596"/>
    </row>
    <row r="657" spans="1:26" ht="18.75" hidden="1">
      <c r="A657" s="591"/>
      <c r="B657" s="599"/>
      <c r="C657" s="749"/>
      <c r="D657" s="710"/>
      <c r="E657" s="749" t="s">
        <v>185</v>
      </c>
      <c r="F657" s="749"/>
      <c r="G657" s="595"/>
      <c r="H657" s="161" t="s">
        <v>12</v>
      </c>
      <c r="I657" s="609"/>
      <c r="J657" s="609"/>
      <c r="K657" s="90"/>
      <c r="L657" s="90">
        <f t="shared" ca="1" si="274"/>
        <v>12400</v>
      </c>
      <c r="M657" s="90">
        <f t="shared" si="274"/>
        <v>0</v>
      </c>
      <c r="N657" s="90">
        <f t="shared" si="274"/>
        <v>0</v>
      </c>
      <c r="O657" s="90">
        <f t="shared" ca="1" si="272"/>
        <v>0</v>
      </c>
      <c r="P657" s="90">
        <f t="shared" si="273"/>
        <v>0</v>
      </c>
      <c r="Q657" s="596"/>
      <c r="R657" s="596"/>
      <c r="S657" s="596"/>
      <c r="T657" s="596"/>
      <c r="U657" s="596"/>
      <c r="V657" s="596"/>
      <c r="W657" s="596"/>
      <c r="X657" s="596"/>
      <c r="Y657" s="596"/>
      <c r="Z657" s="596"/>
    </row>
    <row r="658" spans="1:26" ht="18.75">
      <c r="A658" s="589"/>
      <c r="B658" s="567"/>
      <c r="C658" s="753"/>
      <c r="D658" s="598" t="s">
        <v>20</v>
      </c>
      <c r="E658" s="753"/>
      <c r="F658" s="753"/>
      <c r="G658" s="185"/>
      <c r="H658" s="157" t="s">
        <v>12</v>
      </c>
      <c r="I658" s="180"/>
      <c r="J658" s="180"/>
      <c r="K658" s="159"/>
      <c r="L658" s="495">
        <f t="shared" ref="L658:N658" ca="1" si="275">L659+L660</f>
        <v>12400</v>
      </c>
      <c r="M658" s="495">
        <f t="shared" si="275"/>
        <v>0</v>
      </c>
      <c r="N658" s="495">
        <f t="shared" si="275"/>
        <v>0</v>
      </c>
      <c r="O658" s="495">
        <f t="shared" ca="1" si="272"/>
        <v>0</v>
      </c>
      <c r="P658" s="495">
        <f t="shared" si="273"/>
        <v>0</v>
      </c>
      <c r="Q658" s="570"/>
      <c r="R658" s="570"/>
      <c r="S658" s="570"/>
      <c r="T658" s="570"/>
      <c r="U658" s="570"/>
      <c r="V658" s="570"/>
      <c r="W658" s="570"/>
      <c r="X658" s="570"/>
      <c r="Y658" s="570"/>
      <c r="Z658" s="570"/>
    </row>
    <row r="659" spans="1:26" ht="18.75" hidden="1">
      <c r="A659" s="591"/>
      <c r="B659" s="599"/>
      <c r="C659" s="749"/>
      <c r="D659" s="710"/>
      <c r="E659" s="749" t="s">
        <v>184</v>
      </c>
      <c r="F659" s="749"/>
      <c r="G659" s="595"/>
      <c r="H659" s="161" t="s">
        <v>12</v>
      </c>
      <c r="I659" s="609"/>
      <c r="J659" s="609"/>
      <c r="K659" s="90"/>
      <c r="L659" s="90">
        <v>0</v>
      </c>
      <c r="M659" s="90">
        <v>0</v>
      </c>
      <c r="N659" s="90">
        <v>0</v>
      </c>
      <c r="O659" s="90">
        <f t="shared" si="272"/>
        <v>0</v>
      </c>
      <c r="P659" s="90">
        <f t="shared" si="273"/>
        <v>0</v>
      </c>
      <c r="Q659" s="596"/>
      <c r="R659" s="596"/>
      <c r="S659" s="596"/>
      <c r="T659" s="596"/>
      <c r="U659" s="596"/>
      <c r="V659" s="596"/>
      <c r="W659" s="596"/>
      <c r="X659" s="596"/>
      <c r="Y659" s="596"/>
      <c r="Z659" s="596"/>
    </row>
    <row r="660" spans="1:26" ht="18.75" hidden="1">
      <c r="A660" s="591"/>
      <c r="B660" s="599"/>
      <c r="C660" s="749"/>
      <c r="D660" s="710"/>
      <c r="E660" s="749" t="s">
        <v>185</v>
      </c>
      <c r="F660" s="749"/>
      <c r="G660" s="595"/>
      <c r="H660" s="161" t="s">
        <v>12</v>
      </c>
      <c r="I660" s="609"/>
      <c r="J660" s="609"/>
      <c r="K660" s="90"/>
      <c r="L660" s="90">
        <f ca="1">IFERROR(__xludf.DUMMYFUNCTION("IMPORTRANGE(""https://docs.google.com/spreadsheets/d/1QqKyyYR6Q21VydFLVH3TRQUabQu_ym0Zz7PgGX0-kHA/edit?usp=sharing"",""แผน!HV73"")"),12400)</f>
        <v>12400</v>
      </c>
      <c r="M660" s="90">
        <v>0</v>
      </c>
      <c r="N660" s="90">
        <f>N661+N662+N663+N664</f>
        <v>0</v>
      </c>
      <c r="O660" s="90">
        <f t="shared" ca="1" si="272"/>
        <v>0</v>
      </c>
      <c r="P660" s="90">
        <f t="shared" si="273"/>
        <v>0</v>
      </c>
      <c r="Q660" s="596"/>
      <c r="R660" s="596"/>
      <c r="S660" s="596"/>
      <c r="T660" s="596"/>
      <c r="U660" s="596"/>
      <c r="V660" s="596"/>
      <c r="W660" s="596"/>
      <c r="X660" s="596"/>
      <c r="Y660" s="596"/>
      <c r="Z660" s="596"/>
    </row>
    <row r="661" spans="1:26" ht="18.75">
      <c r="A661" s="566"/>
      <c r="B661" s="567"/>
      <c r="C661" s="753"/>
      <c r="D661" s="753"/>
      <c r="E661" s="753"/>
      <c r="F661" s="753" t="s">
        <v>186</v>
      </c>
      <c r="G661" s="185"/>
      <c r="H661" s="157" t="s">
        <v>12</v>
      </c>
      <c r="I661" s="264"/>
      <c r="J661" s="264"/>
      <c r="K661" s="495"/>
      <c r="L661" s="495"/>
      <c r="M661" s="495"/>
      <c r="N661" s="816">
        <v>0</v>
      </c>
      <c r="O661" s="495"/>
      <c r="P661" s="495"/>
      <c r="Q661" s="570"/>
      <c r="R661" s="570"/>
      <c r="S661" s="570"/>
      <c r="T661" s="570"/>
      <c r="U661" s="570"/>
      <c r="V661" s="570"/>
      <c r="W661" s="570"/>
      <c r="X661" s="570"/>
      <c r="Y661" s="570"/>
      <c r="Z661" s="570"/>
    </row>
    <row r="662" spans="1:26" ht="18.75">
      <c r="A662" s="566"/>
      <c r="B662" s="567"/>
      <c r="C662" s="753"/>
      <c r="D662" s="753"/>
      <c r="E662" s="753"/>
      <c r="F662" s="753" t="s">
        <v>187</v>
      </c>
      <c r="G662" s="185"/>
      <c r="H662" s="157" t="s">
        <v>12</v>
      </c>
      <c r="I662" s="264"/>
      <c r="J662" s="264"/>
      <c r="K662" s="495"/>
      <c r="L662" s="495"/>
      <c r="M662" s="495"/>
      <c r="N662" s="816">
        <v>0</v>
      </c>
      <c r="O662" s="495"/>
      <c r="P662" s="495"/>
      <c r="Q662" s="570"/>
      <c r="R662" s="570"/>
      <c r="S662" s="570"/>
      <c r="T662" s="570"/>
      <c r="U662" s="570"/>
      <c r="V662" s="570"/>
      <c r="W662" s="570"/>
      <c r="X662" s="570"/>
      <c r="Y662" s="570"/>
      <c r="Z662" s="570"/>
    </row>
    <row r="663" spans="1:26" ht="18.75">
      <c r="A663" s="566"/>
      <c r="B663" s="567"/>
      <c r="C663" s="567"/>
      <c r="D663" s="753"/>
      <c r="E663" s="753"/>
      <c r="F663" s="753" t="s">
        <v>188</v>
      </c>
      <c r="G663" s="185"/>
      <c r="H663" s="157" t="s">
        <v>12</v>
      </c>
      <c r="I663" s="264"/>
      <c r="J663" s="264"/>
      <c r="K663" s="495"/>
      <c r="L663" s="495"/>
      <c r="M663" s="495"/>
      <c r="N663" s="816">
        <v>0</v>
      </c>
      <c r="O663" s="495"/>
      <c r="P663" s="495"/>
      <c r="Q663" s="570"/>
      <c r="R663" s="570"/>
      <c r="S663" s="570"/>
      <c r="T663" s="570"/>
      <c r="U663" s="570"/>
      <c r="V663" s="570"/>
      <c r="W663" s="570"/>
      <c r="X663" s="570"/>
      <c r="Y663" s="570"/>
      <c r="Z663" s="570"/>
    </row>
    <row r="664" spans="1:26" ht="18.75">
      <c r="A664" s="566"/>
      <c r="B664" s="567"/>
      <c r="C664" s="567"/>
      <c r="D664" s="567"/>
      <c r="E664" s="753"/>
      <c r="F664" s="753" t="s">
        <v>189</v>
      </c>
      <c r="G664" s="185"/>
      <c r="H664" s="157" t="s">
        <v>12</v>
      </c>
      <c r="I664" s="264"/>
      <c r="J664" s="264"/>
      <c r="K664" s="495"/>
      <c r="L664" s="495"/>
      <c r="M664" s="495"/>
      <c r="N664" s="816">
        <v>0</v>
      </c>
      <c r="O664" s="495"/>
      <c r="P664" s="495"/>
      <c r="Q664" s="570"/>
      <c r="R664" s="570"/>
      <c r="S664" s="570"/>
      <c r="T664" s="570"/>
      <c r="U664" s="570"/>
      <c r="V664" s="570"/>
      <c r="W664" s="570"/>
      <c r="X664" s="570"/>
      <c r="Y664" s="570"/>
      <c r="Z664" s="570"/>
    </row>
    <row r="665" spans="1:26" ht="18.75">
      <c r="A665" s="589"/>
      <c r="B665" s="567"/>
      <c r="C665" s="567"/>
      <c r="D665" s="598" t="s">
        <v>21</v>
      </c>
      <c r="E665" s="753"/>
      <c r="F665" s="753"/>
      <c r="G665" s="185"/>
      <c r="H665" s="164" t="s">
        <v>12</v>
      </c>
      <c r="I665" s="180"/>
      <c r="J665" s="180"/>
      <c r="K665" s="159"/>
      <c r="L665" s="495">
        <f t="shared" ref="L665:N665" si="276">L666+L667</f>
        <v>0</v>
      </c>
      <c r="M665" s="495">
        <f t="shared" si="276"/>
        <v>0</v>
      </c>
      <c r="N665" s="495">
        <f t="shared" si="276"/>
        <v>0</v>
      </c>
      <c r="O665" s="495">
        <f t="shared" ref="O665:O667" si="277">IF(L665&gt;0,N665*100/L665,0)</f>
        <v>0</v>
      </c>
      <c r="P665" s="495">
        <f t="shared" ref="P665:P667" si="278">IF(M665&gt;0,N665*100/M665,0)</f>
        <v>0</v>
      </c>
      <c r="Q665" s="570"/>
      <c r="R665" s="570"/>
      <c r="S665" s="570"/>
      <c r="T665" s="570"/>
      <c r="U665" s="570"/>
      <c r="V665" s="570"/>
      <c r="W665" s="570"/>
      <c r="X665" s="570"/>
      <c r="Y665" s="570"/>
      <c r="Z665" s="570"/>
    </row>
    <row r="666" spans="1:26" ht="18.75" hidden="1">
      <c r="A666" s="591"/>
      <c r="B666" s="599"/>
      <c r="C666" s="599"/>
      <c r="D666" s="599"/>
      <c r="E666" s="749" t="s">
        <v>18</v>
      </c>
      <c r="F666" s="749"/>
      <c r="G666" s="595"/>
      <c r="H666" s="161" t="s">
        <v>12</v>
      </c>
      <c r="I666" s="162"/>
      <c r="J666" s="162"/>
      <c r="K666" s="163"/>
      <c r="L666" s="90">
        <v>0</v>
      </c>
      <c r="M666" s="90">
        <v>0</v>
      </c>
      <c r="N666" s="90">
        <v>0</v>
      </c>
      <c r="O666" s="90">
        <f t="shared" si="277"/>
        <v>0</v>
      </c>
      <c r="P666" s="90">
        <f t="shared" si="278"/>
        <v>0</v>
      </c>
      <c r="Q666" s="596"/>
      <c r="R666" s="596"/>
      <c r="S666" s="596"/>
      <c r="T666" s="596"/>
      <c r="U666" s="596"/>
      <c r="V666" s="596"/>
      <c r="W666" s="596"/>
      <c r="X666" s="596"/>
      <c r="Y666" s="596"/>
      <c r="Z666" s="596"/>
    </row>
    <row r="667" spans="1:26" ht="18.75" hidden="1">
      <c r="A667" s="591"/>
      <c r="B667" s="599"/>
      <c r="C667" s="599"/>
      <c r="D667" s="599"/>
      <c r="E667" s="749" t="s">
        <v>19</v>
      </c>
      <c r="F667" s="749"/>
      <c r="G667" s="595"/>
      <c r="H667" s="165" t="s">
        <v>12</v>
      </c>
      <c r="I667" s="162"/>
      <c r="J667" s="162"/>
      <c r="K667" s="163"/>
      <c r="L667" s="90">
        <v>0</v>
      </c>
      <c r="M667" s="90">
        <v>0</v>
      </c>
      <c r="N667" s="90">
        <v>0</v>
      </c>
      <c r="O667" s="90">
        <f t="shared" si="277"/>
        <v>0</v>
      </c>
      <c r="P667" s="90">
        <f t="shared" si="278"/>
        <v>0</v>
      </c>
      <c r="Q667" s="596"/>
      <c r="R667" s="596"/>
      <c r="S667" s="596"/>
      <c r="T667" s="596"/>
      <c r="U667" s="596"/>
      <c r="V667" s="596"/>
      <c r="W667" s="596"/>
      <c r="X667" s="596"/>
      <c r="Y667" s="596"/>
      <c r="Z667" s="596"/>
    </row>
    <row r="668" spans="1:26" ht="19.5">
      <c r="A668" s="600"/>
      <c r="B668" s="610"/>
      <c r="C668" s="567" t="s">
        <v>16</v>
      </c>
      <c r="D668" s="838" t="s">
        <v>38</v>
      </c>
      <c r="E668" s="751"/>
      <c r="F668" s="751"/>
      <c r="G668" s="605"/>
      <c r="H668" s="752"/>
      <c r="I668" s="180"/>
      <c r="J668" s="180"/>
      <c r="K668" s="159"/>
      <c r="L668" s="159"/>
      <c r="M668" s="159"/>
      <c r="N668" s="159"/>
      <c r="O668" s="159"/>
      <c r="P668" s="159"/>
      <c r="Q668" s="570"/>
      <c r="R668" s="570"/>
      <c r="S668" s="570"/>
      <c r="T668" s="570"/>
      <c r="U668" s="570"/>
      <c r="V668" s="570"/>
      <c r="W668" s="570"/>
      <c r="X668" s="570"/>
      <c r="Y668" s="570"/>
      <c r="Z668" s="570"/>
    </row>
    <row r="669" spans="1:26" ht="19.5">
      <c r="A669" s="600"/>
      <c r="B669" s="610"/>
      <c r="C669" s="610"/>
      <c r="D669" s="610" t="s">
        <v>280</v>
      </c>
      <c r="E669" s="618"/>
      <c r="F669" s="618"/>
      <c r="G669" s="752"/>
      <c r="H669" s="757" t="s">
        <v>46</v>
      </c>
      <c r="I669" s="673">
        <f ca="1">IFERROR(__xludf.DUMMYFUNCTION("IMPORTRANGE(""https://docs.google.com/spreadsheets/d/1QqKyyYR6Q21VydFLVH3TRQUabQu_ym0Zz7PgGX0-kHA/edit?usp=sharing"",""แผน!IA73"")"),100)</f>
        <v>100</v>
      </c>
      <c r="J669" s="673">
        <f>J675</f>
        <v>0</v>
      </c>
      <c r="K669" s="191">
        <f ca="1">IF(I669&gt;0,J669*100/I669,0)</f>
        <v>0</v>
      </c>
      <c r="L669" s="159"/>
      <c r="M669" s="159"/>
      <c r="N669" s="159"/>
      <c r="O669" s="159"/>
      <c r="P669" s="159"/>
      <c r="Q669" s="570"/>
      <c r="R669" s="570"/>
      <c r="S669" s="570"/>
      <c r="T669" s="570"/>
      <c r="U669" s="570"/>
      <c r="V669" s="570"/>
      <c r="W669" s="570"/>
      <c r="X669" s="570"/>
      <c r="Y669" s="570"/>
      <c r="Z669" s="570"/>
    </row>
    <row r="670" spans="1:26" ht="18.75">
      <c r="A670" s="600"/>
      <c r="B670" s="610"/>
      <c r="C670" s="610"/>
      <c r="D670" s="610"/>
      <c r="E670" s="618" t="s">
        <v>281</v>
      </c>
      <c r="F670" s="618"/>
      <c r="G670" s="752"/>
      <c r="H670" s="754" t="s">
        <v>69</v>
      </c>
      <c r="I670" s="264">
        <f ca="1">IFERROR(__xludf.DUMMYFUNCTION("IMPORTRANGE(""https://docs.google.com/spreadsheets/d/1QqKyyYR6Q21VydFLVH3TRQUabQu_ym0Zz7PgGX0-kHA/edit?usp=sharing"",""แผน!HZ73"")"),4)</f>
        <v>4</v>
      </c>
      <c r="J670" s="210">
        <v>0</v>
      </c>
      <c r="K670" s="495">
        <f ca="1">IF(I670&gt;0,(J670*100)/I670,0)</f>
        <v>0</v>
      </c>
      <c r="L670" s="159"/>
      <c r="M670" s="159"/>
      <c r="N670" s="159"/>
      <c r="O670" s="159"/>
      <c r="P670" s="159"/>
      <c r="Q670" s="570"/>
      <c r="R670" s="570"/>
      <c r="S670" s="570"/>
      <c r="T670" s="570"/>
      <c r="U670" s="570"/>
      <c r="V670" s="570"/>
      <c r="W670" s="570"/>
      <c r="X670" s="570"/>
      <c r="Y670" s="570"/>
      <c r="Z670" s="570"/>
    </row>
    <row r="671" spans="1:26" ht="18.75">
      <c r="A671" s="600"/>
      <c r="B671" s="610"/>
      <c r="C671" s="610"/>
      <c r="D671" s="610"/>
      <c r="E671" s="618" t="s">
        <v>282</v>
      </c>
      <c r="F671" s="618"/>
      <c r="G671" s="752"/>
      <c r="H671" s="754" t="s">
        <v>69</v>
      </c>
      <c r="I671" s="264">
        <f ca="1">IFERROR(__xludf.DUMMYFUNCTION("IMPORTRANGE(""https://docs.google.com/spreadsheets/d/1QqKyyYR6Q21VydFLVH3TRQUabQu_ym0Zz7PgGX0-kHA/edit?usp=sharing"",""แผน!HZ73"")"),4)</f>
        <v>4</v>
      </c>
      <c r="J671" s="210">
        <v>0</v>
      </c>
      <c r="K671" s="495">
        <f ca="1">IF(I$671&gt;0,J671*100/I$671,0)</f>
        <v>0</v>
      </c>
      <c r="L671" s="159"/>
      <c r="M671" s="159"/>
      <c r="N671" s="159"/>
      <c r="O671" s="159"/>
      <c r="P671" s="159"/>
      <c r="Q671" s="570"/>
      <c r="R671" s="570"/>
      <c r="S671" s="570"/>
      <c r="T671" s="570"/>
      <c r="U671" s="570"/>
      <c r="V671" s="570"/>
      <c r="W671" s="570"/>
      <c r="X671" s="570"/>
      <c r="Y671" s="570"/>
      <c r="Z671" s="570"/>
    </row>
    <row r="672" spans="1:26" ht="18.75">
      <c r="A672" s="600"/>
      <c r="B672" s="610"/>
      <c r="C672" s="610"/>
      <c r="D672" s="610"/>
      <c r="E672" s="618" t="s">
        <v>283</v>
      </c>
      <c r="F672" s="618"/>
      <c r="G672" s="752"/>
      <c r="H672" s="754" t="s">
        <v>46</v>
      </c>
      <c r="I672" s="264"/>
      <c r="J672" s="210">
        <v>0</v>
      </c>
      <c r="K672" s="495">
        <f t="shared" ref="K672:K675" ca="1" si="279">IF(I$669&gt;0,J672*100/I$669,0)</f>
        <v>0</v>
      </c>
      <c r="L672" s="159"/>
      <c r="M672" s="159"/>
      <c r="N672" s="159"/>
      <c r="O672" s="159"/>
      <c r="P672" s="159"/>
      <c r="Q672" s="570"/>
      <c r="R672" s="570"/>
      <c r="S672" s="570"/>
      <c r="T672" s="570"/>
      <c r="U672" s="570"/>
      <c r="V672" s="570"/>
      <c r="W672" s="570"/>
      <c r="X672" s="570"/>
      <c r="Y672" s="570"/>
      <c r="Z672" s="570"/>
    </row>
    <row r="673" spans="1:26" ht="18.75">
      <c r="A673" s="600"/>
      <c r="B673" s="610"/>
      <c r="C673" s="610"/>
      <c r="D673" s="610"/>
      <c r="E673" s="618" t="s">
        <v>284</v>
      </c>
      <c r="F673" s="618"/>
      <c r="G673" s="752"/>
      <c r="H673" s="754" t="s">
        <v>46</v>
      </c>
      <c r="I673" s="264"/>
      <c r="J673" s="210">
        <v>0</v>
      </c>
      <c r="K673" s="495">
        <f t="shared" ca="1" si="279"/>
        <v>0</v>
      </c>
      <c r="L673" s="159"/>
      <c r="M673" s="159"/>
      <c r="N673" s="159"/>
      <c r="O673" s="159"/>
      <c r="P673" s="159"/>
      <c r="Q673" s="570"/>
      <c r="R673" s="570"/>
      <c r="S673" s="570"/>
      <c r="T673" s="570"/>
      <c r="U673" s="570"/>
      <c r="V673" s="570"/>
      <c r="W673" s="570"/>
      <c r="X673" s="570"/>
      <c r="Y673" s="570"/>
      <c r="Z673" s="570"/>
    </row>
    <row r="674" spans="1:26" ht="18.75">
      <c r="A674" s="600"/>
      <c r="B674" s="610"/>
      <c r="C674" s="610"/>
      <c r="D674" s="610"/>
      <c r="E674" s="618" t="s">
        <v>285</v>
      </c>
      <c r="F674" s="618"/>
      <c r="G674" s="752"/>
      <c r="H674" s="754" t="s">
        <v>46</v>
      </c>
      <c r="I674" s="264"/>
      <c r="J674" s="210">
        <v>0</v>
      </c>
      <c r="K674" s="495">
        <f t="shared" ca="1" si="279"/>
        <v>0</v>
      </c>
      <c r="L674" s="159"/>
      <c r="M674" s="159"/>
      <c r="N674" s="159"/>
      <c r="O674" s="159"/>
      <c r="P674" s="159"/>
      <c r="Q674" s="570"/>
      <c r="R674" s="570"/>
      <c r="S674" s="570"/>
      <c r="T674" s="570"/>
      <c r="U674" s="570"/>
      <c r="V674" s="570"/>
      <c r="W674" s="570"/>
      <c r="X674" s="570"/>
      <c r="Y674" s="570"/>
      <c r="Z674" s="570"/>
    </row>
    <row r="675" spans="1:26" ht="19.5">
      <c r="A675" s="600"/>
      <c r="B675" s="610"/>
      <c r="C675" s="610"/>
      <c r="D675" s="610"/>
      <c r="E675" s="618" t="s">
        <v>286</v>
      </c>
      <c r="F675" s="618"/>
      <c r="G675" s="752"/>
      <c r="H675" s="754" t="s">
        <v>46</v>
      </c>
      <c r="I675" s="264"/>
      <c r="J675" s="673">
        <f>J676+J677</f>
        <v>0</v>
      </c>
      <c r="K675" s="191">
        <f t="shared" ca="1" si="279"/>
        <v>0</v>
      </c>
      <c r="L675" s="159"/>
      <c r="M675" s="159"/>
      <c r="N675" s="159"/>
      <c r="O675" s="159"/>
      <c r="P675" s="159"/>
      <c r="Q675" s="570"/>
      <c r="R675" s="570"/>
      <c r="S675" s="570"/>
      <c r="T675" s="570"/>
      <c r="U675" s="570"/>
      <c r="V675" s="570"/>
      <c r="W675" s="570"/>
      <c r="X675" s="570"/>
      <c r="Y675" s="570"/>
      <c r="Z675" s="570"/>
    </row>
    <row r="676" spans="1:26" ht="18.75">
      <c r="A676" s="600"/>
      <c r="B676" s="610"/>
      <c r="C676" s="610"/>
      <c r="D676" s="610"/>
      <c r="E676" s="618"/>
      <c r="F676" s="618" t="s">
        <v>287</v>
      </c>
      <c r="G676" s="752"/>
      <c r="H676" s="754" t="s">
        <v>46</v>
      </c>
      <c r="I676" s="264"/>
      <c r="J676" s="210">
        <v>0</v>
      </c>
      <c r="K676" s="495"/>
      <c r="L676" s="159"/>
      <c r="M676" s="159"/>
      <c r="N676" s="159"/>
      <c r="O676" s="159"/>
      <c r="P676" s="159"/>
      <c r="Q676" s="570"/>
      <c r="R676" s="570"/>
      <c r="S676" s="570"/>
      <c r="T676" s="570"/>
      <c r="U676" s="570"/>
      <c r="V676" s="570"/>
      <c r="W676" s="570"/>
      <c r="X676" s="570"/>
      <c r="Y676" s="570"/>
      <c r="Z676" s="570"/>
    </row>
    <row r="677" spans="1:26" ht="18.75">
      <c r="A677" s="600"/>
      <c r="B677" s="610"/>
      <c r="C677" s="610"/>
      <c r="D677" s="610"/>
      <c r="E677" s="618"/>
      <c r="F677" s="618" t="s">
        <v>288</v>
      </c>
      <c r="G677" s="752"/>
      <c r="H677" s="754" t="s">
        <v>46</v>
      </c>
      <c r="I677" s="264"/>
      <c r="J677" s="210">
        <v>0</v>
      </c>
      <c r="K677" s="495"/>
      <c r="L677" s="159"/>
      <c r="M677" s="159"/>
      <c r="N677" s="159"/>
      <c r="O677" s="159"/>
      <c r="P677" s="159"/>
      <c r="Q677" s="570"/>
      <c r="R677" s="570"/>
      <c r="S677" s="570"/>
      <c r="T677" s="570"/>
      <c r="U677" s="570"/>
      <c r="V677" s="570"/>
      <c r="W677" s="570"/>
      <c r="X677" s="570"/>
      <c r="Y677" s="570"/>
      <c r="Z677" s="570"/>
    </row>
    <row r="678" spans="1:26" ht="19.5">
      <c r="A678" s="600"/>
      <c r="B678" s="610"/>
      <c r="C678" s="610"/>
      <c r="D678" s="610" t="s">
        <v>289</v>
      </c>
      <c r="E678" s="618"/>
      <c r="F678" s="618"/>
      <c r="G678" s="752"/>
      <c r="H678" s="754" t="s">
        <v>46</v>
      </c>
      <c r="I678" s="673">
        <f ca="1">IFERROR(__xludf.DUMMYFUNCTION("IMPORTRANGE(""https://docs.google.com/spreadsheets/d/1QqKyyYR6Q21VydFLVH3TRQUabQu_ym0Zz7PgGX0-kHA/edit?usp=sharing"",""แผน!IB73"")"),0)</f>
        <v>0</v>
      </c>
      <c r="J678" s="673">
        <f>J679</f>
        <v>0</v>
      </c>
      <c r="K678" s="191">
        <f ca="1">IF(I678&gt;0,J678*100/I678,0)</f>
        <v>0</v>
      </c>
      <c r="L678" s="159"/>
      <c r="M678" s="159"/>
      <c r="N678" s="159"/>
      <c r="O678" s="159"/>
      <c r="P678" s="159"/>
      <c r="Q678" s="570"/>
      <c r="R678" s="570"/>
      <c r="S678" s="570"/>
      <c r="T678" s="570"/>
      <c r="U678" s="570"/>
      <c r="V678" s="570"/>
      <c r="W678" s="570"/>
      <c r="X678" s="570"/>
      <c r="Y678" s="570"/>
      <c r="Z678" s="570"/>
    </row>
    <row r="679" spans="1:26" ht="18.75">
      <c r="A679" s="600"/>
      <c r="B679" s="610"/>
      <c r="C679" s="610"/>
      <c r="D679" s="610"/>
      <c r="E679" s="618" t="s">
        <v>290</v>
      </c>
      <c r="F679" s="618"/>
      <c r="G679" s="752"/>
      <c r="H679" s="754" t="s">
        <v>46</v>
      </c>
      <c r="I679" s="264"/>
      <c r="J679" s="264">
        <f>J680+J681</f>
        <v>0</v>
      </c>
      <c r="K679" s="495"/>
      <c r="L679" s="159"/>
      <c r="M679" s="159"/>
      <c r="N679" s="159"/>
      <c r="O679" s="159"/>
      <c r="P679" s="159"/>
      <c r="Q679" s="570"/>
      <c r="R679" s="570"/>
      <c r="S679" s="570"/>
      <c r="T679" s="570"/>
      <c r="U679" s="570"/>
      <c r="V679" s="570"/>
      <c r="W679" s="570"/>
      <c r="X679" s="570"/>
      <c r="Y679" s="570"/>
      <c r="Z679" s="570"/>
    </row>
    <row r="680" spans="1:26" ht="18.75">
      <c r="A680" s="600"/>
      <c r="B680" s="610"/>
      <c r="C680" s="610"/>
      <c r="D680" s="610"/>
      <c r="E680" s="618"/>
      <c r="F680" s="618" t="s">
        <v>287</v>
      </c>
      <c r="G680" s="752"/>
      <c r="H680" s="754" t="s">
        <v>46</v>
      </c>
      <c r="I680" s="264"/>
      <c r="J680" s="210">
        <v>0</v>
      </c>
      <c r="K680" s="495"/>
      <c r="L680" s="159"/>
      <c r="M680" s="159"/>
      <c r="N680" s="159"/>
      <c r="O680" s="159"/>
      <c r="P680" s="159"/>
      <c r="Q680" s="570"/>
      <c r="R680" s="570"/>
      <c r="S680" s="570"/>
      <c r="T680" s="570"/>
      <c r="U680" s="570"/>
      <c r="V680" s="570"/>
      <c r="W680" s="570"/>
      <c r="X680" s="570"/>
      <c r="Y680" s="570"/>
      <c r="Z680" s="570"/>
    </row>
    <row r="681" spans="1:26" ht="18.75">
      <c r="A681" s="600"/>
      <c r="B681" s="610"/>
      <c r="C681" s="610"/>
      <c r="D681" s="610"/>
      <c r="E681" s="618"/>
      <c r="F681" s="618" t="s">
        <v>288</v>
      </c>
      <c r="G681" s="752"/>
      <c r="H681" s="754" t="s">
        <v>46</v>
      </c>
      <c r="I681" s="264"/>
      <c r="J681" s="210">
        <v>0</v>
      </c>
      <c r="K681" s="495"/>
      <c r="L681" s="159"/>
      <c r="M681" s="159"/>
      <c r="N681" s="159"/>
      <c r="O681" s="159"/>
      <c r="P681" s="159"/>
      <c r="Q681" s="570"/>
      <c r="R681" s="570"/>
      <c r="S681" s="570"/>
      <c r="T681" s="570"/>
      <c r="U681" s="570"/>
      <c r="V681" s="570"/>
      <c r="W681" s="570"/>
      <c r="X681" s="570"/>
      <c r="Y681" s="570"/>
      <c r="Z681" s="570"/>
    </row>
    <row r="682" spans="1:26" ht="18.75">
      <c r="A682" s="600"/>
      <c r="B682" s="610"/>
      <c r="C682" s="610"/>
      <c r="D682" s="610"/>
      <c r="E682" s="618" t="s">
        <v>291</v>
      </c>
      <c r="F682" s="618"/>
      <c r="G682" s="752"/>
      <c r="H682" s="754" t="s">
        <v>46</v>
      </c>
      <c r="I682" s="264"/>
      <c r="J682" s="210">
        <v>0</v>
      </c>
      <c r="K682" s="495"/>
      <c r="L682" s="159"/>
      <c r="M682" s="159"/>
      <c r="N682" s="159"/>
      <c r="O682" s="159"/>
      <c r="P682" s="159"/>
      <c r="Q682" s="570"/>
      <c r="R682" s="570"/>
      <c r="S682" s="570"/>
      <c r="T682" s="570"/>
      <c r="U682" s="570"/>
      <c r="V682" s="570"/>
      <c r="W682" s="570"/>
      <c r="X682" s="570"/>
      <c r="Y682" s="570"/>
      <c r="Z682" s="570"/>
    </row>
    <row r="683" spans="1:26" ht="18.75">
      <c r="A683" s="600"/>
      <c r="B683" s="610"/>
      <c r="C683" s="610"/>
      <c r="D683" s="610"/>
      <c r="E683" s="618"/>
      <c r="F683" s="618" t="s">
        <v>292</v>
      </c>
      <c r="G683" s="752"/>
      <c r="H683" s="754" t="s">
        <v>46</v>
      </c>
      <c r="I683" s="264"/>
      <c r="J683" s="210">
        <v>0</v>
      </c>
      <c r="K683" s="495"/>
      <c r="L683" s="159"/>
      <c r="M683" s="159"/>
      <c r="N683" s="159"/>
      <c r="O683" s="159"/>
      <c r="P683" s="159"/>
      <c r="Q683" s="570"/>
      <c r="R683" s="570"/>
      <c r="S683" s="570"/>
      <c r="T683" s="570"/>
      <c r="U683" s="570"/>
      <c r="V683" s="570"/>
      <c r="W683" s="570"/>
      <c r="X683" s="570"/>
      <c r="Y683" s="570"/>
      <c r="Z683" s="570"/>
    </row>
    <row r="684" spans="1:26" ht="19.5">
      <c r="A684" s="743"/>
      <c r="B684" s="744" t="s">
        <v>293</v>
      </c>
      <c r="C684" s="743"/>
      <c r="D684" s="743"/>
      <c r="E684" s="743"/>
      <c r="F684" s="743"/>
      <c r="G684" s="745"/>
      <c r="H684" s="745"/>
      <c r="I684" s="746"/>
      <c r="J684" s="746"/>
      <c r="K684" s="747"/>
      <c r="L684" s="747"/>
      <c r="M684" s="747"/>
      <c r="N684" s="747"/>
      <c r="O684" s="747"/>
      <c r="P684" s="747"/>
      <c r="Q684" s="570"/>
      <c r="R684" s="570"/>
      <c r="S684" s="570"/>
      <c r="T684" s="570"/>
      <c r="U684" s="570"/>
      <c r="V684" s="570"/>
      <c r="W684" s="570"/>
      <c r="X684" s="570"/>
      <c r="Y684" s="570"/>
      <c r="Z684" s="570"/>
    </row>
    <row r="685" spans="1:26" ht="19.5">
      <c r="A685" s="589"/>
      <c r="B685" s="753"/>
      <c r="C685" s="753" t="s">
        <v>16</v>
      </c>
      <c r="D685" s="845" t="s">
        <v>17</v>
      </c>
      <c r="E685" s="846"/>
      <c r="F685" s="846"/>
      <c r="G685" s="185"/>
      <c r="H685" s="590" t="s">
        <v>12</v>
      </c>
      <c r="I685" s="264"/>
      <c r="J685" s="264"/>
      <c r="K685" s="495"/>
      <c r="L685" s="191">
        <f t="shared" ref="L685:N685" ca="1" si="280">L686+L687</f>
        <v>13060</v>
      </c>
      <c r="M685" s="191">
        <f t="shared" si="280"/>
        <v>0</v>
      </c>
      <c r="N685" s="191">
        <f t="shared" si="280"/>
        <v>0</v>
      </c>
      <c r="O685" s="191">
        <f t="shared" ref="O685:O688" ca="1" si="281">IF(L685&gt;0,N685*100/L685,0)</f>
        <v>0</v>
      </c>
      <c r="P685" s="191">
        <f t="shared" ref="P685:P688" si="282">IF(M685&gt;0,N685*100/M685,0)</f>
        <v>0</v>
      </c>
      <c r="Q685" s="570"/>
      <c r="R685" s="570"/>
      <c r="S685" s="570"/>
      <c r="T685" s="570"/>
      <c r="U685" s="570"/>
      <c r="V685" s="570"/>
      <c r="W685" s="570"/>
      <c r="X685" s="570"/>
      <c r="Y685" s="570"/>
      <c r="Z685" s="570"/>
    </row>
    <row r="686" spans="1:26" ht="18.75" hidden="1">
      <c r="A686" s="591"/>
      <c r="B686" s="749"/>
      <c r="C686" s="749"/>
      <c r="D686" s="710"/>
      <c r="E686" s="749" t="s">
        <v>184</v>
      </c>
      <c r="F686" s="749"/>
      <c r="G686" s="595"/>
      <c r="H686" s="161" t="s">
        <v>12</v>
      </c>
      <c r="I686" s="609"/>
      <c r="J686" s="609"/>
      <c r="K686" s="90"/>
      <c r="L686" s="90">
        <f t="shared" ref="L686:N687" si="283">L689+L696</f>
        <v>0</v>
      </c>
      <c r="M686" s="90">
        <f t="shared" si="283"/>
        <v>0</v>
      </c>
      <c r="N686" s="90">
        <f t="shared" si="283"/>
        <v>0</v>
      </c>
      <c r="O686" s="90">
        <f t="shared" si="281"/>
        <v>0</v>
      </c>
      <c r="P686" s="90">
        <f t="shared" si="282"/>
        <v>0</v>
      </c>
      <c r="Q686" s="596"/>
      <c r="R686" s="596"/>
      <c r="S686" s="596"/>
      <c r="T686" s="596"/>
      <c r="U686" s="596"/>
      <c r="V686" s="596"/>
      <c r="W686" s="596"/>
      <c r="X686" s="596"/>
      <c r="Y686" s="596"/>
      <c r="Z686" s="596"/>
    </row>
    <row r="687" spans="1:26" ht="18.75" hidden="1">
      <c r="A687" s="591"/>
      <c r="B687" s="599"/>
      <c r="C687" s="749"/>
      <c r="D687" s="710"/>
      <c r="E687" s="749" t="s">
        <v>185</v>
      </c>
      <c r="F687" s="749"/>
      <c r="G687" s="595"/>
      <c r="H687" s="161" t="s">
        <v>12</v>
      </c>
      <c r="I687" s="609"/>
      <c r="J687" s="609"/>
      <c r="K687" s="90"/>
      <c r="L687" s="90">
        <f t="shared" ca="1" si="283"/>
        <v>13060</v>
      </c>
      <c r="M687" s="90">
        <f t="shared" si="283"/>
        <v>0</v>
      </c>
      <c r="N687" s="90">
        <f t="shared" si="283"/>
        <v>0</v>
      </c>
      <c r="O687" s="90">
        <f t="shared" ca="1" si="281"/>
        <v>0</v>
      </c>
      <c r="P687" s="90">
        <f t="shared" si="282"/>
        <v>0</v>
      </c>
      <c r="Q687" s="596"/>
      <c r="R687" s="596"/>
      <c r="S687" s="596"/>
      <c r="T687" s="596"/>
      <c r="U687" s="596"/>
      <c r="V687" s="596"/>
      <c r="W687" s="596"/>
      <c r="X687" s="596"/>
      <c r="Y687" s="596"/>
      <c r="Z687" s="596"/>
    </row>
    <row r="688" spans="1:26" ht="18.75">
      <c r="A688" s="589"/>
      <c r="B688" s="567"/>
      <c r="C688" s="753"/>
      <c r="D688" s="598" t="s">
        <v>20</v>
      </c>
      <c r="E688" s="753"/>
      <c r="F688" s="753"/>
      <c r="G688" s="185"/>
      <c r="H688" s="157" t="s">
        <v>12</v>
      </c>
      <c r="I688" s="180"/>
      <c r="J688" s="180"/>
      <c r="K688" s="159"/>
      <c r="L688" s="495">
        <f t="shared" ref="L688:N688" ca="1" si="284">L689+L690</f>
        <v>13060</v>
      </c>
      <c r="M688" s="495">
        <f t="shared" si="284"/>
        <v>0</v>
      </c>
      <c r="N688" s="495">
        <f t="shared" si="284"/>
        <v>0</v>
      </c>
      <c r="O688" s="495">
        <f t="shared" ca="1" si="281"/>
        <v>0</v>
      </c>
      <c r="P688" s="495">
        <f t="shared" si="282"/>
        <v>0</v>
      </c>
      <c r="Q688" s="570"/>
      <c r="R688" s="570"/>
      <c r="S688" s="570"/>
      <c r="T688" s="570"/>
      <c r="U688" s="570"/>
      <c r="V688" s="570"/>
      <c r="W688" s="570"/>
      <c r="X688" s="570"/>
      <c r="Y688" s="570"/>
      <c r="Z688" s="570"/>
    </row>
    <row r="689" spans="1:26" ht="18.75" hidden="1">
      <c r="A689" s="591"/>
      <c r="B689" s="599"/>
      <c r="C689" s="749"/>
      <c r="D689" s="710"/>
      <c r="E689" s="749" t="s">
        <v>184</v>
      </c>
      <c r="F689" s="749"/>
      <c r="G689" s="595"/>
      <c r="H689" s="161" t="s">
        <v>12</v>
      </c>
      <c r="I689" s="609"/>
      <c r="J689" s="609"/>
      <c r="K689" s="90"/>
      <c r="L689" s="90">
        <v>0</v>
      </c>
      <c r="M689" s="90">
        <v>0</v>
      </c>
      <c r="N689" s="90">
        <v>0</v>
      </c>
      <c r="O689" s="90"/>
      <c r="P689" s="90"/>
      <c r="Q689" s="596"/>
      <c r="R689" s="596"/>
      <c r="S689" s="596"/>
      <c r="T689" s="596"/>
      <c r="U689" s="596"/>
      <c r="V689" s="596"/>
      <c r="W689" s="596"/>
      <c r="X689" s="596"/>
      <c r="Y689" s="596"/>
      <c r="Z689" s="596"/>
    </row>
    <row r="690" spans="1:26" ht="18.75" hidden="1">
      <c r="A690" s="591"/>
      <c r="B690" s="599"/>
      <c r="C690" s="749"/>
      <c r="D690" s="710"/>
      <c r="E690" s="749" t="s">
        <v>185</v>
      </c>
      <c r="F690" s="749"/>
      <c r="G690" s="595"/>
      <c r="H690" s="161" t="s">
        <v>12</v>
      </c>
      <c r="I690" s="609"/>
      <c r="J690" s="609"/>
      <c r="K690" s="90"/>
      <c r="L690" s="90">
        <f ca="1">IFERROR(__xludf.DUMMYFUNCTION("IMPORTRANGE(""https://docs.google.com/spreadsheets/d/1QqKyyYR6Q21VydFLVH3TRQUabQu_ym0Zz7PgGX0-kHA/edit?usp=sharing"",""แผน!HW73"")"),13060)</f>
        <v>13060</v>
      </c>
      <c r="M690" s="90">
        <v>0</v>
      </c>
      <c r="N690" s="90">
        <f>N691+N692+N693+N694</f>
        <v>0</v>
      </c>
      <c r="O690" s="90">
        <f ca="1">IF(L690&gt;0,N690*100/L690,0)</f>
        <v>0</v>
      </c>
      <c r="P690" s="90">
        <f>IF(M690&gt;0,N690*100/M690,0)</f>
        <v>0</v>
      </c>
      <c r="Q690" s="596"/>
      <c r="R690" s="596"/>
      <c r="S690" s="596"/>
      <c r="T690" s="596"/>
      <c r="U690" s="596"/>
      <c r="V690" s="596"/>
      <c r="W690" s="596"/>
      <c r="X690" s="596"/>
      <c r="Y690" s="596"/>
      <c r="Z690" s="596"/>
    </row>
    <row r="691" spans="1:26" ht="18.75">
      <c r="A691" s="566"/>
      <c r="B691" s="567"/>
      <c r="C691" s="753"/>
      <c r="D691" s="753"/>
      <c r="E691" s="753"/>
      <c r="F691" s="753" t="s">
        <v>186</v>
      </c>
      <c r="G691" s="185"/>
      <c r="H691" s="157" t="s">
        <v>12</v>
      </c>
      <c r="I691" s="264"/>
      <c r="J691" s="264"/>
      <c r="K691" s="495"/>
      <c r="L691" s="495"/>
      <c r="M691" s="495"/>
      <c r="N691" s="816">
        <v>0</v>
      </c>
      <c r="O691" s="495"/>
      <c r="P691" s="495"/>
      <c r="Q691" s="570"/>
      <c r="R691" s="570"/>
      <c r="S691" s="570"/>
      <c r="T691" s="570"/>
      <c r="U691" s="570"/>
      <c r="V691" s="570"/>
      <c r="W691" s="570"/>
      <c r="X691" s="570"/>
      <c r="Y691" s="570"/>
      <c r="Z691" s="570"/>
    </row>
    <row r="692" spans="1:26" ht="18.75">
      <c r="A692" s="566"/>
      <c r="B692" s="567"/>
      <c r="C692" s="753"/>
      <c r="D692" s="753"/>
      <c r="E692" s="753"/>
      <c r="F692" s="753" t="s">
        <v>187</v>
      </c>
      <c r="G692" s="185"/>
      <c r="H692" s="157" t="s">
        <v>12</v>
      </c>
      <c r="I692" s="264"/>
      <c r="J692" s="264"/>
      <c r="K692" s="495"/>
      <c r="L692" s="495"/>
      <c r="M692" s="495"/>
      <c r="N692" s="816">
        <v>0</v>
      </c>
      <c r="O692" s="495"/>
      <c r="P692" s="495"/>
      <c r="Q692" s="570"/>
      <c r="R692" s="570"/>
      <c r="S692" s="570"/>
      <c r="T692" s="570"/>
      <c r="U692" s="570"/>
      <c r="V692" s="570"/>
      <c r="W692" s="570"/>
      <c r="X692" s="570"/>
      <c r="Y692" s="570"/>
      <c r="Z692" s="570"/>
    </row>
    <row r="693" spans="1:26" ht="18.75">
      <c r="A693" s="566"/>
      <c r="B693" s="567"/>
      <c r="C693" s="753"/>
      <c r="D693" s="753"/>
      <c r="E693" s="753"/>
      <c r="F693" s="753" t="s">
        <v>188</v>
      </c>
      <c r="G693" s="185"/>
      <c r="H693" s="157" t="s">
        <v>12</v>
      </c>
      <c r="I693" s="264"/>
      <c r="J693" s="264"/>
      <c r="K693" s="495"/>
      <c r="L693" s="495"/>
      <c r="M693" s="495"/>
      <c r="N693" s="816">
        <v>0</v>
      </c>
      <c r="O693" s="495"/>
      <c r="P693" s="495"/>
      <c r="Q693" s="570"/>
      <c r="R693" s="570"/>
      <c r="S693" s="570"/>
      <c r="T693" s="570"/>
      <c r="U693" s="570"/>
      <c r="V693" s="570"/>
      <c r="W693" s="570"/>
      <c r="X693" s="570"/>
      <c r="Y693" s="570"/>
      <c r="Z693" s="570"/>
    </row>
    <row r="694" spans="1:26" ht="18.75">
      <c r="A694" s="566"/>
      <c r="B694" s="567"/>
      <c r="C694" s="753"/>
      <c r="D694" s="753"/>
      <c r="E694" s="753"/>
      <c r="F694" s="753" t="s">
        <v>189</v>
      </c>
      <c r="G694" s="185"/>
      <c r="H694" s="157" t="s">
        <v>12</v>
      </c>
      <c r="I694" s="264"/>
      <c r="J694" s="264"/>
      <c r="K694" s="495"/>
      <c r="L694" s="495"/>
      <c r="M694" s="495"/>
      <c r="N694" s="816">
        <v>0</v>
      </c>
      <c r="O694" s="495"/>
      <c r="P694" s="495"/>
      <c r="Q694" s="570"/>
      <c r="R694" s="570"/>
      <c r="S694" s="570"/>
      <c r="T694" s="570"/>
      <c r="U694" s="570"/>
      <c r="V694" s="570"/>
      <c r="W694" s="570"/>
      <c r="X694" s="570"/>
      <c r="Y694" s="570"/>
      <c r="Z694" s="570"/>
    </row>
    <row r="695" spans="1:26" ht="18.75">
      <c r="A695" s="589"/>
      <c r="B695" s="567"/>
      <c r="C695" s="753"/>
      <c r="D695" s="598" t="s">
        <v>21</v>
      </c>
      <c r="E695" s="753"/>
      <c r="F695" s="753"/>
      <c r="G695" s="185"/>
      <c r="H695" s="164" t="s">
        <v>12</v>
      </c>
      <c r="I695" s="180"/>
      <c r="J695" s="180"/>
      <c r="K695" s="159"/>
      <c r="L695" s="495">
        <f t="shared" ref="L695:N695" si="285">L696+L697</f>
        <v>0</v>
      </c>
      <c r="M695" s="495">
        <f t="shared" si="285"/>
        <v>0</v>
      </c>
      <c r="N695" s="495">
        <f t="shared" si="285"/>
        <v>0</v>
      </c>
      <c r="O695" s="495">
        <f t="shared" ref="O695:O697" si="286">IF(L695&gt;0,N695*100/L695,0)</f>
        <v>0</v>
      </c>
      <c r="P695" s="495">
        <f t="shared" ref="P695:P697" si="287">IF(M695&gt;0,N695*100/M695,0)</f>
        <v>0</v>
      </c>
      <c r="Q695" s="570"/>
      <c r="R695" s="570"/>
      <c r="S695" s="570"/>
      <c r="T695" s="570"/>
      <c r="U695" s="570"/>
      <c r="V695" s="570"/>
      <c r="W695" s="570"/>
      <c r="X695" s="570"/>
      <c r="Y695" s="570"/>
      <c r="Z695" s="570"/>
    </row>
    <row r="696" spans="1:26" ht="18.75" hidden="1">
      <c r="A696" s="591"/>
      <c r="B696" s="599"/>
      <c r="C696" s="749"/>
      <c r="D696" s="749"/>
      <c r="E696" s="749" t="s">
        <v>18</v>
      </c>
      <c r="F696" s="749"/>
      <c r="G696" s="595"/>
      <c r="H696" s="161" t="s">
        <v>12</v>
      </c>
      <c r="I696" s="162"/>
      <c r="J696" s="162"/>
      <c r="K696" s="163"/>
      <c r="L696" s="90">
        <v>0</v>
      </c>
      <c r="M696" s="90">
        <v>0</v>
      </c>
      <c r="N696" s="90">
        <v>0</v>
      </c>
      <c r="O696" s="90">
        <f t="shared" si="286"/>
        <v>0</v>
      </c>
      <c r="P696" s="90">
        <f t="shared" si="287"/>
        <v>0</v>
      </c>
      <c r="Q696" s="596"/>
      <c r="R696" s="596"/>
      <c r="S696" s="596"/>
      <c r="T696" s="596"/>
      <c r="U696" s="596"/>
      <c r="V696" s="596"/>
      <c r="W696" s="596"/>
      <c r="X696" s="596"/>
      <c r="Y696" s="596"/>
      <c r="Z696" s="596"/>
    </row>
    <row r="697" spans="1:26" ht="18.75" hidden="1">
      <c r="A697" s="591"/>
      <c r="B697" s="599"/>
      <c r="C697" s="749"/>
      <c r="D697" s="749"/>
      <c r="E697" s="749" t="s">
        <v>19</v>
      </c>
      <c r="F697" s="749"/>
      <c r="G697" s="595"/>
      <c r="H697" s="165" t="s">
        <v>12</v>
      </c>
      <c r="I697" s="162"/>
      <c r="J697" s="162"/>
      <c r="K697" s="163"/>
      <c r="L697" s="90">
        <v>0</v>
      </c>
      <c r="M697" s="90">
        <v>0</v>
      </c>
      <c r="N697" s="90">
        <v>0</v>
      </c>
      <c r="O697" s="90">
        <f t="shared" si="286"/>
        <v>0</v>
      </c>
      <c r="P697" s="90">
        <f t="shared" si="287"/>
        <v>0</v>
      </c>
      <c r="Q697" s="596"/>
      <c r="R697" s="596"/>
      <c r="S697" s="596"/>
      <c r="T697" s="596"/>
      <c r="U697" s="596"/>
      <c r="V697" s="596"/>
      <c r="W697" s="596"/>
      <c r="X697" s="596"/>
      <c r="Y697" s="596"/>
      <c r="Z697" s="596"/>
    </row>
    <row r="698" spans="1:26" ht="19.5">
      <c r="A698" s="600"/>
      <c r="B698" s="610"/>
      <c r="C698" s="753" t="s">
        <v>16</v>
      </c>
      <c r="D698" s="842" t="s">
        <v>38</v>
      </c>
      <c r="E698" s="751"/>
      <c r="F698" s="751"/>
      <c r="G698" s="605"/>
      <c r="H698" s="752"/>
      <c r="I698" s="180"/>
      <c r="J698" s="180"/>
      <c r="K698" s="159"/>
      <c r="L698" s="159"/>
      <c r="M698" s="159"/>
      <c r="N698" s="159"/>
      <c r="O698" s="159"/>
      <c r="P698" s="159"/>
      <c r="Q698" s="570"/>
      <c r="R698" s="570"/>
      <c r="S698" s="570"/>
      <c r="T698" s="570"/>
      <c r="U698" s="570"/>
      <c r="V698" s="570"/>
      <c r="W698" s="570"/>
      <c r="X698" s="570"/>
      <c r="Y698" s="570"/>
      <c r="Z698" s="570"/>
    </row>
    <row r="699" spans="1:26" ht="18.75">
      <c r="A699" s="734"/>
      <c r="B699" s="753"/>
      <c r="C699" s="753"/>
      <c r="D699" s="753" t="s">
        <v>294</v>
      </c>
      <c r="E699" s="753"/>
      <c r="F699" s="753"/>
      <c r="G699" s="185"/>
      <c r="H699" s="754" t="s">
        <v>46</v>
      </c>
      <c r="I699" s="755">
        <f ca="1">IFERROR(__xludf.DUMMYFUNCTION("IMPORTRANGE(""https://docs.google.com/spreadsheets/d/1QqKyyYR6Q21VydFLVH3TRQUabQu_ym0Zz7PgGX0-kHA/edit?usp=sharing"",""แผน!IC73"")"),80)</f>
        <v>80</v>
      </c>
      <c r="J699" s="264">
        <f ca="1">IFERROR(__xludf.DUMMYFUNCTION("IMPORTRANGE(""https://docs.google.com/spreadsheets/d/1XWAQStnk-4SwqDmLtmXYiTMKHgktTP8We1SCoS47DrQ/edit?usp=sharing"",""จัดที่ดิน!BB73"")"),0)</f>
        <v>0</v>
      </c>
      <c r="K699" s="495">
        <f t="shared" ref="K699:K701" ca="1" si="288">IF(I699&gt;0,J699*100/I699,0)</f>
        <v>0</v>
      </c>
      <c r="L699" s="495"/>
      <c r="M699" s="185"/>
      <c r="N699" s="756"/>
      <c r="O699" s="495"/>
      <c r="P699" s="495"/>
      <c r="Q699" s="570"/>
      <c r="R699" s="570"/>
      <c r="S699" s="570"/>
      <c r="T699" s="570"/>
      <c r="U699" s="570"/>
      <c r="V699" s="570"/>
      <c r="W699" s="570"/>
      <c r="X699" s="570"/>
      <c r="Y699" s="570"/>
      <c r="Z699" s="570"/>
    </row>
    <row r="700" spans="1:26" ht="18.75">
      <c r="A700" s="734"/>
      <c r="B700" s="753"/>
      <c r="C700" s="753"/>
      <c r="D700" s="753" t="s">
        <v>295</v>
      </c>
      <c r="E700" s="753"/>
      <c r="F700" s="753"/>
      <c r="G700" s="185"/>
      <c r="H700" s="754" t="s">
        <v>35</v>
      </c>
      <c r="I700" s="755">
        <f ca="1">IFERROR(__xludf.DUMMYFUNCTION("IMPORTRANGE(""https://docs.google.com/spreadsheets/d/1QqKyyYR6Q21VydFLVH3TRQUabQu_ym0Zz7PgGX0-kHA/edit?usp=sharing"",""แผน!ID73"")"),16)</f>
        <v>16</v>
      </c>
      <c r="J700" s="264">
        <f ca="1">IFERROR(__xludf.DUMMYFUNCTION("IMPORTRANGE(""https://docs.google.com/spreadsheets/d/1XWAQStnk-4SwqDmLtmXYiTMKHgktTP8We1SCoS47DrQ/edit?usp=sharing"",""จัดที่ดิน!BD73"")"),0)</f>
        <v>0</v>
      </c>
      <c r="K700" s="495">
        <f t="shared" ca="1" si="288"/>
        <v>0</v>
      </c>
      <c r="L700" s="495"/>
      <c r="M700" s="185"/>
      <c r="N700" s="756"/>
      <c r="O700" s="495"/>
      <c r="P700" s="495"/>
      <c r="Q700" s="570"/>
      <c r="R700" s="570"/>
      <c r="S700" s="570"/>
      <c r="T700" s="570"/>
      <c r="U700" s="570"/>
      <c r="V700" s="570"/>
      <c r="W700" s="570"/>
      <c r="X700" s="570"/>
      <c r="Y700" s="570"/>
      <c r="Z700" s="570"/>
    </row>
    <row r="701" spans="1:26" ht="19.5">
      <c r="A701" s="734"/>
      <c r="B701" s="753"/>
      <c r="C701" s="753"/>
      <c r="D701" s="753" t="s">
        <v>296</v>
      </c>
      <c r="E701" s="753"/>
      <c r="F701" s="753"/>
      <c r="G701" s="185"/>
      <c r="H701" s="757" t="s">
        <v>46</v>
      </c>
      <c r="I701" s="758">
        <f ca="1">IFERROR(__xludf.DUMMYFUNCTION("IMPORTRANGE(""https://docs.google.com/spreadsheets/d/1QqKyyYR6Q21VydFLVH3TRQUabQu_ym0Zz7PgGX0-kHA/edit?usp=sharing"",""แผน!IE73"")"),15)</f>
        <v>15</v>
      </c>
      <c r="J701" s="673">
        <f>J704+J707</f>
        <v>0</v>
      </c>
      <c r="K701" s="191">
        <f t="shared" ca="1" si="288"/>
        <v>0</v>
      </c>
      <c r="L701" s="495"/>
      <c r="M701" s="185"/>
      <c r="N701" s="756"/>
      <c r="O701" s="495"/>
      <c r="P701" s="495"/>
      <c r="Q701" s="570"/>
      <c r="R701" s="570"/>
      <c r="S701" s="570"/>
      <c r="T701" s="570"/>
      <c r="U701" s="570"/>
      <c r="V701" s="570"/>
      <c r="W701" s="570"/>
      <c r="X701" s="570"/>
      <c r="Y701" s="570"/>
      <c r="Z701" s="570"/>
    </row>
    <row r="702" spans="1:26" ht="18.75">
      <c r="A702" s="734"/>
      <c r="B702" s="753"/>
      <c r="C702" s="753"/>
      <c r="D702" s="753"/>
      <c r="E702" s="753" t="s">
        <v>297</v>
      </c>
      <c r="F702" s="753"/>
      <c r="G702" s="185"/>
      <c r="H702" s="754" t="s">
        <v>35</v>
      </c>
      <c r="I702" s="755"/>
      <c r="J702" s="210">
        <v>0</v>
      </c>
      <c r="K702" s="495"/>
      <c r="L702" s="495"/>
      <c r="M702" s="185"/>
      <c r="N702" s="756"/>
      <c r="O702" s="495"/>
      <c r="P702" s="495"/>
      <c r="Q702" s="570"/>
      <c r="R702" s="570"/>
      <c r="S702" s="570"/>
      <c r="T702" s="570"/>
      <c r="U702" s="570"/>
      <c r="V702" s="570"/>
      <c r="W702" s="570"/>
      <c r="X702" s="570"/>
      <c r="Y702" s="570"/>
      <c r="Z702" s="570"/>
    </row>
    <row r="703" spans="1:26" ht="18.75">
      <c r="A703" s="734"/>
      <c r="B703" s="753"/>
      <c r="C703" s="753"/>
      <c r="D703" s="753"/>
      <c r="E703" s="753"/>
      <c r="F703" s="753"/>
      <c r="G703" s="185"/>
      <c r="H703" s="754" t="s">
        <v>34</v>
      </c>
      <c r="I703" s="755"/>
      <c r="J703" s="210">
        <v>0</v>
      </c>
      <c r="K703" s="495"/>
      <c r="L703" s="495"/>
      <c r="M703" s="185"/>
      <c r="N703" s="756"/>
      <c r="O703" s="495"/>
      <c r="P703" s="495"/>
      <c r="Q703" s="570"/>
      <c r="R703" s="570"/>
      <c r="S703" s="570"/>
      <c r="T703" s="570"/>
      <c r="U703" s="570"/>
      <c r="V703" s="570"/>
      <c r="W703" s="570"/>
      <c r="X703" s="570"/>
      <c r="Y703" s="570"/>
      <c r="Z703" s="570"/>
    </row>
    <row r="704" spans="1:26" ht="18.75">
      <c r="A704" s="734"/>
      <c r="B704" s="753"/>
      <c r="C704" s="753"/>
      <c r="D704" s="753"/>
      <c r="E704" s="753"/>
      <c r="F704" s="753"/>
      <c r="G704" s="185"/>
      <c r="H704" s="754" t="s">
        <v>46</v>
      </c>
      <c r="I704" s="755">
        <f ca="1">IFERROR(__xludf.DUMMYFUNCTION("IMPORTRANGE(""https://docs.google.com/spreadsheets/d/1QqKyyYR6Q21VydFLVH3TRQUabQu_ym0Zz7PgGX0-kHA/edit?usp=sharing"",""แผน!IF73"")"),15)</f>
        <v>15</v>
      </c>
      <c r="J704" s="210">
        <v>0</v>
      </c>
      <c r="K704" s="495"/>
      <c r="L704" s="495"/>
      <c r="M704" s="185"/>
      <c r="N704" s="756"/>
      <c r="O704" s="495"/>
      <c r="P704" s="495"/>
      <c r="Q704" s="570"/>
      <c r="R704" s="570"/>
      <c r="S704" s="570"/>
      <c r="T704" s="570"/>
      <c r="U704" s="570"/>
      <c r="V704" s="570"/>
      <c r="W704" s="570"/>
      <c r="X704" s="570"/>
      <c r="Y704" s="570"/>
      <c r="Z704" s="570"/>
    </row>
    <row r="705" spans="1:26" ht="18.75">
      <c r="A705" s="734"/>
      <c r="B705" s="753"/>
      <c r="C705" s="753"/>
      <c r="D705" s="753"/>
      <c r="E705" s="753" t="s">
        <v>298</v>
      </c>
      <c r="F705" s="753"/>
      <c r="G705" s="185"/>
      <c r="H705" s="754" t="s">
        <v>35</v>
      </c>
      <c r="I705" s="755"/>
      <c r="J705" s="210">
        <v>0</v>
      </c>
      <c r="K705" s="495"/>
      <c r="L705" s="495"/>
      <c r="M705" s="185"/>
      <c r="N705" s="756"/>
      <c r="O705" s="495"/>
      <c r="P705" s="495"/>
      <c r="Q705" s="570"/>
      <c r="R705" s="570"/>
      <c r="S705" s="570"/>
      <c r="T705" s="570"/>
      <c r="U705" s="570"/>
      <c r="V705" s="570"/>
      <c r="W705" s="570"/>
      <c r="X705" s="570"/>
      <c r="Y705" s="570"/>
      <c r="Z705" s="570"/>
    </row>
    <row r="706" spans="1:26" ht="18.75">
      <c r="A706" s="734"/>
      <c r="B706" s="753"/>
      <c r="C706" s="753"/>
      <c r="D706" s="753"/>
      <c r="E706" s="753"/>
      <c r="F706" s="753"/>
      <c r="G706" s="185"/>
      <c r="H706" s="754" t="s">
        <v>34</v>
      </c>
      <c r="I706" s="755"/>
      <c r="J706" s="210">
        <v>0</v>
      </c>
      <c r="K706" s="495"/>
      <c r="L706" s="495"/>
      <c r="M706" s="185"/>
      <c r="N706" s="756"/>
      <c r="O706" s="495"/>
      <c r="P706" s="495"/>
      <c r="Q706" s="570"/>
      <c r="R706" s="570"/>
      <c r="S706" s="570"/>
      <c r="T706" s="570"/>
      <c r="U706" s="570"/>
      <c r="V706" s="570"/>
      <c r="W706" s="570"/>
      <c r="X706" s="570"/>
      <c r="Y706" s="570"/>
      <c r="Z706" s="570"/>
    </row>
    <row r="707" spans="1:26" ht="18.75">
      <c r="A707" s="734"/>
      <c r="B707" s="753"/>
      <c r="C707" s="753"/>
      <c r="D707" s="753"/>
      <c r="E707" s="753"/>
      <c r="F707" s="753"/>
      <c r="G707" s="185"/>
      <c r="H707" s="754" t="s">
        <v>46</v>
      </c>
      <c r="I707" s="755">
        <f ca="1">IFERROR(__xludf.DUMMYFUNCTION("IMPORTRANGE(""https://docs.google.com/spreadsheets/d/1QqKyyYR6Q21VydFLVH3TRQUabQu_ym0Zz7PgGX0-kHA/edit?usp=sharing"",""แผน!IG73"")"),0)</f>
        <v>0</v>
      </c>
      <c r="J707" s="210">
        <v>0</v>
      </c>
      <c r="K707" s="495"/>
      <c r="L707" s="495"/>
      <c r="M707" s="185"/>
      <c r="N707" s="756"/>
      <c r="O707" s="495"/>
      <c r="P707" s="495"/>
      <c r="Q707" s="570"/>
      <c r="R707" s="570"/>
      <c r="S707" s="570"/>
      <c r="T707" s="570"/>
      <c r="U707" s="570"/>
      <c r="V707" s="570"/>
      <c r="W707" s="570"/>
      <c r="X707" s="570"/>
      <c r="Y707" s="570"/>
      <c r="Z707" s="570"/>
    </row>
    <row r="708" spans="1:26" ht="19.5">
      <c r="A708" s="734"/>
      <c r="B708" s="753"/>
      <c r="C708" s="753"/>
      <c r="D708" s="759" t="s">
        <v>299</v>
      </c>
      <c r="E708" s="753"/>
      <c r="F708" s="753"/>
      <c r="G708" s="185"/>
      <c r="H708" s="757" t="s">
        <v>46</v>
      </c>
      <c r="I708" s="758">
        <f ca="1">IFERROR(__xludf.DUMMYFUNCTION("IMPORTRANGE(""https://docs.google.com/spreadsheets/d/1QqKyyYR6Q21VydFLVH3TRQUabQu_ym0Zz7PgGX0-kHA/edit?usp=sharing"",""แผน!IH73"")"),80)</f>
        <v>80</v>
      </c>
      <c r="J708" s="673">
        <f>J714+J717</f>
        <v>0</v>
      </c>
      <c r="K708" s="191">
        <f ca="1">IF(I708&gt;0,J708*100/I708,0)</f>
        <v>0</v>
      </c>
      <c r="L708" s="495"/>
      <c r="M708" s="185"/>
      <c r="N708" s="756"/>
      <c r="O708" s="495"/>
      <c r="P708" s="495"/>
      <c r="Q708" s="570"/>
      <c r="R708" s="570"/>
      <c r="S708" s="570"/>
      <c r="T708" s="570"/>
      <c r="U708" s="570"/>
      <c r="V708" s="570"/>
      <c r="W708" s="570"/>
      <c r="X708" s="570"/>
      <c r="Y708" s="570"/>
      <c r="Z708" s="570"/>
    </row>
    <row r="709" spans="1:26" ht="18.75">
      <c r="A709" s="734"/>
      <c r="B709" s="753"/>
      <c r="C709" s="753"/>
      <c r="D709" s="753"/>
      <c r="E709" s="753" t="s">
        <v>300</v>
      </c>
      <c r="F709" s="753"/>
      <c r="G709" s="185"/>
      <c r="H709" s="754" t="s">
        <v>34</v>
      </c>
      <c r="I709" s="755"/>
      <c r="J709" s="210">
        <v>0</v>
      </c>
      <c r="K709" s="495"/>
      <c r="L709" s="756"/>
      <c r="M709" s="185"/>
      <c r="N709" s="756"/>
      <c r="O709" s="495"/>
      <c r="P709" s="495"/>
      <c r="Q709" s="570"/>
      <c r="R709" s="570"/>
      <c r="S709" s="570"/>
      <c r="T709" s="570"/>
      <c r="U709" s="570"/>
      <c r="V709" s="570"/>
      <c r="W709" s="570"/>
      <c r="X709" s="570"/>
      <c r="Y709" s="570"/>
      <c r="Z709" s="570"/>
    </row>
    <row r="710" spans="1:26" ht="18.75">
      <c r="A710" s="734"/>
      <c r="B710" s="753"/>
      <c r="C710" s="753"/>
      <c r="D710" s="753"/>
      <c r="E710" s="753"/>
      <c r="F710" s="753"/>
      <c r="G710" s="185"/>
      <c r="H710" s="754" t="s">
        <v>46</v>
      </c>
      <c r="I710" s="755"/>
      <c r="J710" s="210">
        <v>0</v>
      </c>
      <c r="K710" s="495"/>
      <c r="L710" s="756"/>
      <c r="M710" s="185"/>
      <c r="N710" s="756"/>
      <c r="O710" s="495"/>
      <c r="P710" s="495"/>
      <c r="Q710" s="570"/>
      <c r="R710" s="570"/>
      <c r="S710" s="570"/>
      <c r="T710" s="570"/>
      <c r="U710" s="570"/>
      <c r="V710" s="570"/>
      <c r="W710" s="570"/>
      <c r="X710" s="570"/>
      <c r="Y710" s="570"/>
      <c r="Z710" s="570"/>
    </row>
    <row r="711" spans="1:26" ht="18.75">
      <c r="A711" s="734"/>
      <c r="B711" s="753"/>
      <c r="C711" s="753"/>
      <c r="D711" s="753"/>
      <c r="E711" s="753" t="s">
        <v>301</v>
      </c>
      <c r="F711" s="753"/>
      <c r="G711" s="185"/>
      <c r="H711" s="752"/>
      <c r="I711" s="755"/>
      <c r="J711" s="264"/>
      <c r="K711" s="495"/>
      <c r="L711" s="756"/>
      <c r="M711" s="185"/>
      <c r="N711" s="756"/>
      <c r="O711" s="495"/>
      <c r="P711" s="495"/>
      <c r="Q711" s="570"/>
      <c r="R711" s="570"/>
      <c r="S711" s="570"/>
      <c r="T711" s="570"/>
      <c r="U711" s="570"/>
      <c r="V711" s="570"/>
      <c r="W711" s="570"/>
      <c r="X711" s="570"/>
      <c r="Y711" s="570"/>
      <c r="Z711" s="570"/>
    </row>
    <row r="712" spans="1:26" ht="18.75">
      <c r="A712" s="734"/>
      <c r="B712" s="753"/>
      <c r="C712" s="753"/>
      <c r="D712" s="753"/>
      <c r="E712" s="753"/>
      <c r="F712" s="753" t="s">
        <v>302</v>
      </c>
      <c r="G712" s="185"/>
      <c r="H712" s="754" t="s">
        <v>35</v>
      </c>
      <c r="I712" s="755"/>
      <c r="J712" s="210">
        <v>0</v>
      </c>
      <c r="K712" s="495"/>
      <c r="L712" s="756"/>
      <c r="M712" s="185"/>
      <c r="N712" s="756"/>
      <c r="O712" s="495"/>
      <c r="P712" s="495"/>
      <c r="Q712" s="570"/>
      <c r="R712" s="570"/>
      <c r="S712" s="570"/>
      <c r="T712" s="570"/>
      <c r="U712" s="570"/>
      <c r="V712" s="570"/>
      <c r="W712" s="570"/>
      <c r="X712" s="570"/>
      <c r="Y712" s="570"/>
      <c r="Z712" s="570"/>
    </row>
    <row r="713" spans="1:26" ht="18.75">
      <c r="A713" s="734"/>
      <c r="B713" s="753"/>
      <c r="C713" s="753"/>
      <c r="D713" s="753"/>
      <c r="E713" s="753"/>
      <c r="F713" s="753"/>
      <c r="G713" s="185"/>
      <c r="H713" s="754" t="s">
        <v>34</v>
      </c>
      <c r="I713" s="755"/>
      <c r="J713" s="210">
        <v>0</v>
      </c>
      <c r="K713" s="495"/>
      <c r="L713" s="756"/>
      <c r="M713" s="185"/>
      <c r="N713" s="756"/>
      <c r="O713" s="495"/>
      <c r="P713" s="495"/>
      <c r="Q713" s="570"/>
      <c r="R713" s="570"/>
      <c r="S713" s="570"/>
      <c r="T713" s="570"/>
      <c r="U713" s="570"/>
      <c r="V713" s="570"/>
      <c r="W713" s="570"/>
      <c r="X713" s="570"/>
      <c r="Y713" s="570"/>
      <c r="Z713" s="570"/>
    </row>
    <row r="714" spans="1:26" ht="18.75">
      <c r="A714" s="734"/>
      <c r="B714" s="753"/>
      <c r="C714" s="753"/>
      <c r="D714" s="753"/>
      <c r="E714" s="753"/>
      <c r="F714" s="753"/>
      <c r="G714" s="185"/>
      <c r="H714" s="754" t="s">
        <v>46</v>
      </c>
      <c r="I714" s="755"/>
      <c r="J714" s="210">
        <v>0</v>
      </c>
      <c r="K714" s="495"/>
      <c r="L714" s="756"/>
      <c r="M714" s="185"/>
      <c r="N714" s="756"/>
      <c r="O714" s="495"/>
      <c r="P714" s="495"/>
      <c r="Q714" s="570"/>
      <c r="R714" s="570"/>
      <c r="S714" s="570"/>
      <c r="T714" s="570"/>
      <c r="U714" s="570"/>
      <c r="V714" s="570"/>
      <c r="W714" s="570"/>
      <c r="X714" s="570"/>
      <c r="Y714" s="570"/>
      <c r="Z714" s="570"/>
    </row>
    <row r="715" spans="1:26" ht="18.75">
      <c r="A715" s="734"/>
      <c r="B715" s="753"/>
      <c r="C715" s="753"/>
      <c r="D715" s="753"/>
      <c r="E715" s="753"/>
      <c r="F715" s="753" t="s">
        <v>303</v>
      </c>
      <c r="G715" s="185"/>
      <c r="H715" s="754" t="s">
        <v>35</v>
      </c>
      <c r="I715" s="755"/>
      <c r="J715" s="210">
        <v>0</v>
      </c>
      <c r="K715" s="495"/>
      <c r="L715" s="756"/>
      <c r="M715" s="185"/>
      <c r="N715" s="756"/>
      <c r="O715" s="495"/>
      <c r="P715" s="495"/>
      <c r="Q715" s="570"/>
      <c r="R715" s="570"/>
      <c r="S715" s="570"/>
      <c r="T715" s="570"/>
      <c r="U715" s="570"/>
      <c r="V715" s="570"/>
      <c r="W715" s="570"/>
      <c r="X715" s="570"/>
      <c r="Y715" s="570"/>
      <c r="Z715" s="570"/>
    </row>
    <row r="716" spans="1:26" ht="18.75">
      <c r="A716" s="734"/>
      <c r="B716" s="753"/>
      <c r="C716" s="753"/>
      <c r="D716" s="753"/>
      <c r="E716" s="753"/>
      <c r="F716" s="753"/>
      <c r="G716" s="185"/>
      <c r="H716" s="754" t="s">
        <v>34</v>
      </c>
      <c r="I716" s="755"/>
      <c r="J716" s="210">
        <v>0</v>
      </c>
      <c r="K716" s="495"/>
      <c r="L716" s="756"/>
      <c r="M716" s="185"/>
      <c r="N716" s="756"/>
      <c r="O716" s="495"/>
      <c r="P716" s="495"/>
      <c r="Q716" s="570"/>
      <c r="R716" s="570"/>
      <c r="S716" s="570"/>
      <c r="T716" s="570"/>
      <c r="U716" s="570"/>
      <c r="V716" s="570"/>
      <c r="W716" s="570"/>
      <c r="X716" s="570"/>
      <c r="Y716" s="570"/>
      <c r="Z716" s="570"/>
    </row>
    <row r="717" spans="1:26" ht="18.75">
      <c r="A717" s="734"/>
      <c r="B717" s="753"/>
      <c r="C717" s="753"/>
      <c r="D717" s="753"/>
      <c r="E717" s="753"/>
      <c r="F717" s="753"/>
      <c r="G717" s="185"/>
      <c r="H717" s="754" t="s">
        <v>46</v>
      </c>
      <c r="I717" s="755"/>
      <c r="J717" s="210">
        <v>0</v>
      </c>
      <c r="K717" s="495"/>
      <c r="L717" s="756"/>
      <c r="M717" s="185"/>
      <c r="N717" s="756"/>
      <c r="O717" s="495"/>
      <c r="P717" s="495"/>
      <c r="Q717" s="570"/>
      <c r="R717" s="570"/>
      <c r="S717" s="570"/>
      <c r="T717" s="570"/>
      <c r="U717" s="570"/>
      <c r="V717" s="570"/>
      <c r="W717" s="570"/>
      <c r="X717" s="570"/>
      <c r="Y717" s="570"/>
      <c r="Z717" s="570"/>
    </row>
    <row r="718" spans="1:26" ht="18.75">
      <c r="A718" s="734"/>
      <c r="B718" s="753"/>
      <c r="C718" s="753"/>
      <c r="D718" s="753" t="s">
        <v>304</v>
      </c>
      <c r="E718" s="753"/>
      <c r="F718" s="753"/>
      <c r="G718" s="185"/>
      <c r="H718" s="754" t="s">
        <v>35</v>
      </c>
      <c r="I718" s="755"/>
      <c r="J718" s="264">
        <f ca="1">IFERROR(__xludf.DUMMYFUNCTION("IMPORTRANGE(""https://docs.google.com/spreadsheets/d/1XWAQStnk-4SwqDmLtmXYiTMKHgktTP8We1SCoS47DrQ/edit?usp=sharing"",""จัดที่ดิน!BF73"")"),0)</f>
        <v>0</v>
      </c>
      <c r="K718" s="495"/>
      <c r="L718" s="495"/>
      <c r="M718" s="185"/>
      <c r="N718" s="756"/>
      <c r="O718" s="495"/>
      <c r="P718" s="495"/>
      <c r="Q718" s="570"/>
      <c r="R718" s="570"/>
      <c r="S718" s="570"/>
      <c r="T718" s="570"/>
      <c r="U718" s="570"/>
      <c r="V718" s="570"/>
      <c r="W718" s="570"/>
      <c r="X718" s="570"/>
      <c r="Y718" s="570"/>
      <c r="Z718" s="570"/>
    </row>
    <row r="719" spans="1:26" ht="18.75">
      <c r="A719" s="734"/>
      <c r="B719" s="753"/>
      <c r="C719" s="753"/>
      <c r="D719" s="753"/>
      <c r="E719" s="753"/>
      <c r="F719" s="753"/>
      <c r="G719" s="185"/>
      <c r="H719" s="754" t="s">
        <v>34</v>
      </c>
      <c r="I719" s="755"/>
      <c r="J719" s="264">
        <f ca="1">IFERROR(__xludf.DUMMYFUNCTION("IMPORTRANGE(""https://docs.google.com/spreadsheets/d/1XWAQStnk-4SwqDmLtmXYiTMKHgktTP8We1SCoS47DrQ/edit?usp=sharing"",""จัดที่ดิน!BG73"")"),0)</f>
        <v>0</v>
      </c>
      <c r="K719" s="495"/>
      <c r="L719" s="756"/>
      <c r="M719" s="185"/>
      <c r="N719" s="756"/>
      <c r="O719" s="495"/>
      <c r="P719" s="495"/>
      <c r="Q719" s="570"/>
      <c r="R719" s="570"/>
      <c r="S719" s="570"/>
      <c r="T719" s="570"/>
      <c r="U719" s="570"/>
      <c r="V719" s="570"/>
      <c r="W719" s="570"/>
      <c r="X719" s="570"/>
      <c r="Y719" s="570"/>
      <c r="Z719" s="570"/>
    </row>
    <row r="720" spans="1:26" ht="18.75">
      <c r="A720" s="734"/>
      <c r="B720" s="753"/>
      <c r="C720" s="753"/>
      <c r="D720" s="753"/>
      <c r="E720" s="753"/>
      <c r="F720" s="753"/>
      <c r="G720" s="185"/>
      <c r="H720" s="754" t="s">
        <v>46</v>
      </c>
      <c r="I720" s="755">
        <f ca="1">IFERROR(__xludf.DUMMYFUNCTION("IMPORTRANGE(""https://docs.google.com/spreadsheets/d/1QqKyyYR6Q21VydFLVH3TRQUabQu_ym0Zz7PgGX0-kHA/edit?usp=sharing"",""แผน!II73"")"),0)</f>
        <v>0</v>
      </c>
      <c r="J720" s="264">
        <f ca="1">IFERROR(__xludf.DUMMYFUNCTION("IMPORTRANGE(""https://docs.google.com/spreadsheets/d/1XWAQStnk-4SwqDmLtmXYiTMKHgktTP8We1SCoS47DrQ/edit?usp=sharing"",""จัดที่ดิน!BH73"")"),0)</f>
        <v>0</v>
      </c>
      <c r="K720" s="495">
        <f t="shared" ref="K720:K723" ca="1" si="289">IF(I720&gt;0,J720*100/I720,0)</f>
        <v>0</v>
      </c>
      <c r="L720" s="756"/>
      <c r="M720" s="185"/>
      <c r="N720" s="756"/>
      <c r="O720" s="495"/>
      <c r="P720" s="495"/>
      <c r="Q720" s="570"/>
      <c r="R720" s="570"/>
      <c r="S720" s="570"/>
      <c r="T720" s="570"/>
      <c r="U720" s="570"/>
      <c r="V720" s="570"/>
      <c r="W720" s="570"/>
      <c r="X720" s="570"/>
      <c r="Y720" s="570"/>
      <c r="Z720" s="570"/>
    </row>
    <row r="721" spans="1:26" ht="19.5">
      <c r="A721" s="734"/>
      <c r="B721" s="753"/>
      <c r="C721" s="753"/>
      <c r="D721" s="753" t="s">
        <v>305</v>
      </c>
      <c r="E721" s="753"/>
      <c r="F721" s="753"/>
      <c r="G721" s="185"/>
      <c r="H721" s="757" t="s">
        <v>35</v>
      </c>
      <c r="I721" s="758">
        <f ca="1">IFERROR(__xludf.DUMMYFUNCTION("IMPORTRANGE(""https://docs.google.com/spreadsheets/d/1QqKyyYR6Q21VydFLVH3TRQUabQu_ym0Zz7PgGX0-kHA/edit?usp=sharing"",""แผน!IJ73"")"),2)</f>
        <v>2</v>
      </c>
      <c r="J721" s="673">
        <f ca="1">J723+J726</f>
        <v>0</v>
      </c>
      <c r="K721" s="191">
        <f t="shared" ca="1" si="289"/>
        <v>0</v>
      </c>
      <c r="L721" s="756"/>
      <c r="M721" s="185"/>
      <c r="N721" s="756"/>
      <c r="O721" s="495"/>
      <c r="P721" s="495"/>
      <c r="Q721" s="570"/>
      <c r="R721" s="570"/>
      <c r="S721" s="570"/>
      <c r="T721" s="570"/>
      <c r="U721" s="570"/>
      <c r="V721" s="570"/>
      <c r="W721" s="570"/>
      <c r="X721" s="570"/>
      <c r="Y721" s="570"/>
      <c r="Z721" s="570"/>
    </row>
    <row r="722" spans="1:26" ht="19.5">
      <c r="A722" s="734"/>
      <c r="B722" s="753"/>
      <c r="C722" s="753"/>
      <c r="D722" s="753"/>
      <c r="E722" s="753"/>
      <c r="F722" s="753"/>
      <c r="G722" s="185"/>
      <c r="H722" s="757" t="s">
        <v>46</v>
      </c>
      <c r="I722" s="758">
        <f ca="1">IFERROR(__xludf.DUMMYFUNCTION("IMPORTRANGE(""https://docs.google.com/spreadsheets/d/1QqKyyYR6Q21VydFLVH3TRQUabQu_ym0Zz7PgGX0-kHA/edit?usp=sharing"",""แผน!IK73"")"),10)</f>
        <v>10</v>
      </c>
      <c r="J722" s="673">
        <f ca="1">J725+J728</f>
        <v>0</v>
      </c>
      <c r="K722" s="191">
        <f t="shared" ca="1" si="289"/>
        <v>0</v>
      </c>
      <c r="L722" s="495"/>
      <c r="M722" s="185"/>
      <c r="N722" s="756"/>
      <c r="O722" s="495"/>
      <c r="P722" s="495"/>
      <c r="Q722" s="570"/>
      <c r="R722" s="570"/>
      <c r="S722" s="570"/>
      <c r="T722" s="570"/>
      <c r="U722" s="570"/>
      <c r="V722" s="570"/>
      <c r="W722" s="570"/>
      <c r="X722" s="570"/>
      <c r="Y722" s="570"/>
      <c r="Z722" s="570"/>
    </row>
    <row r="723" spans="1:26" ht="18.75">
      <c r="A723" s="734"/>
      <c r="B723" s="753"/>
      <c r="C723" s="753"/>
      <c r="D723" s="753"/>
      <c r="E723" s="753" t="s">
        <v>306</v>
      </c>
      <c r="F723" s="753"/>
      <c r="G723" s="185"/>
      <c r="H723" s="754" t="s">
        <v>35</v>
      </c>
      <c r="I723" s="755">
        <f ca="1">IFERROR(__xludf.DUMMYFUNCTION("IMPORTRANGE(""https://docs.google.com/spreadsheets/d/1QqKyyYR6Q21VydFLVH3TRQUabQu_ym0Zz7PgGX0-kHA/edit?usp=sharing"",""แผน!IL73"")"),2)</f>
        <v>2</v>
      </c>
      <c r="J723" s="264">
        <f ca="1">IFERROR(__xludf.DUMMYFUNCTION("IMPORTRANGE(""https://docs.google.com/spreadsheets/d/1XWAQStnk-4SwqDmLtmXYiTMKHgktTP8We1SCoS47DrQ/edit?usp=sharing"",""จัดที่ดิน!BM73"")"),0)</f>
        <v>0</v>
      </c>
      <c r="K723" s="495">
        <f t="shared" ca="1" si="289"/>
        <v>0</v>
      </c>
      <c r="L723" s="495"/>
      <c r="M723" s="185"/>
      <c r="N723" s="756"/>
      <c r="O723" s="495"/>
      <c r="P723" s="495"/>
      <c r="Q723" s="570"/>
      <c r="R723" s="570"/>
      <c r="S723" s="570"/>
      <c r="T723" s="570"/>
      <c r="U723" s="570"/>
      <c r="V723" s="570"/>
      <c r="W723" s="570"/>
      <c r="X723" s="570"/>
      <c r="Y723" s="570"/>
      <c r="Z723" s="570"/>
    </row>
    <row r="724" spans="1:26" ht="18.75">
      <c r="A724" s="734"/>
      <c r="B724" s="753"/>
      <c r="C724" s="753"/>
      <c r="D724" s="753"/>
      <c r="E724" s="753"/>
      <c r="F724" s="753"/>
      <c r="G724" s="185"/>
      <c r="H724" s="754" t="s">
        <v>34</v>
      </c>
      <c r="I724" s="755"/>
      <c r="J724" s="264">
        <f ca="1">IFERROR(__xludf.DUMMYFUNCTION("IMPORTRANGE(""https://docs.google.com/spreadsheets/d/1XWAQStnk-4SwqDmLtmXYiTMKHgktTP8We1SCoS47DrQ/edit?usp=sharing"",""จัดที่ดิน!BN73"")"),0)</f>
        <v>0</v>
      </c>
      <c r="K724" s="495"/>
      <c r="L724" s="756"/>
      <c r="M724" s="185"/>
      <c r="N724" s="756"/>
      <c r="O724" s="495"/>
      <c r="P724" s="495"/>
      <c r="Q724" s="570"/>
      <c r="R724" s="570"/>
      <c r="S724" s="570"/>
      <c r="T724" s="570"/>
      <c r="U724" s="570"/>
      <c r="V724" s="570"/>
      <c r="W724" s="570"/>
      <c r="X724" s="570"/>
      <c r="Y724" s="570"/>
      <c r="Z724" s="570"/>
    </row>
    <row r="725" spans="1:26" ht="18.75">
      <c r="A725" s="734"/>
      <c r="B725" s="753"/>
      <c r="C725" s="753"/>
      <c r="D725" s="753"/>
      <c r="E725" s="753"/>
      <c r="F725" s="753"/>
      <c r="G725" s="185"/>
      <c r="H725" s="754" t="s">
        <v>46</v>
      </c>
      <c r="I725" s="755">
        <f ca="1">IFERROR(__xludf.DUMMYFUNCTION("IMPORTRANGE(""https://docs.google.com/spreadsheets/d/1QqKyyYR6Q21VydFLVH3TRQUabQu_ym0Zz7PgGX0-kHA/edit?usp=sharing"",""แผน!IM73"")"),10)</f>
        <v>10</v>
      </c>
      <c r="J725" s="264">
        <f ca="1">IFERROR(__xludf.DUMMYFUNCTION("IMPORTRANGE(""https://docs.google.com/spreadsheets/d/1XWAQStnk-4SwqDmLtmXYiTMKHgktTP8We1SCoS47DrQ/edit?usp=sharing"",""จัดที่ดิน!BO73"")"),0)</f>
        <v>0</v>
      </c>
      <c r="K725" s="495">
        <f t="shared" ref="K725:K726" ca="1" si="290">IF(I725&gt;0,J725*100/I725,0)</f>
        <v>0</v>
      </c>
      <c r="L725" s="756"/>
      <c r="M725" s="185"/>
      <c r="N725" s="756"/>
      <c r="O725" s="495"/>
      <c r="P725" s="495"/>
      <c r="Q725" s="570"/>
      <c r="R725" s="570"/>
      <c r="S725" s="570"/>
      <c r="T725" s="570"/>
      <c r="U725" s="570"/>
      <c r="V725" s="570"/>
      <c r="W725" s="570"/>
      <c r="X725" s="570"/>
      <c r="Y725" s="570"/>
      <c r="Z725" s="570"/>
    </row>
    <row r="726" spans="1:26" ht="18.75">
      <c r="A726" s="734"/>
      <c r="B726" s="753"/>
      <c r="C726" s="753"/>
      <c r="D726" s="753"/>
      <c r="E726" s="753" t="s">
        <v>307</v>
      </c>
      <c r="F726" s="753"/>
      <c r="G726" s="185"/>
      <c r="H726" s="754" t="s">
        <v>35</v>
      </c>
      <c r="I726" s="755">
        <f ca="1">IFERROR(__xludf.DUMMYFUNCTION("IMPORTRANGE(""https://docs.google.com/spreadsheets/d/1QqKyyYR6Q21VydFLVH3TRQUabQu_ym0Zz7PgGX0-kHA/edit?usp=sharing"",""แผน!IN73"")"),0)</f>
        <v>0</v>
      </c>
      <c r="J726" s="264">
        <f ca="1">IFERROR(__xludf.DUMMYFUNCTION("IMPORTRANGE(""https://docs.google.com/spreadsheets/d/1XWAQStnk-4SwqDmLtmXYiTMKHgktTP8We1SCoS47DrQ/edit?usp=sharing"",""จัดที่ดิน!BR73"")"),0)</f>
        <v>0</v>
      </c>
      <c r="K726" s="495">
        <f t="shared" ca="1" si="290"/>
        <v>0</v>
      </c>
      <c r="L726" s="495"/>
      <c r="M726" s="185"/>
      <c r="N726" s="756"/>
      <c r="O726" s="495"/>
      <c r="P726" s="495"/>
      <c r="Q726" s="570"/>
      <c r="R726" s="570"/>
      <c r="S726" s="570"/>
      <c r="T726" s="570"/>
      <c r="U726" s="570"/>
      <c r="V726" s="570"/>
      <c r="W726" s="570"/>
      <c r="X726" s="570"/>
      <c r="Y726" s="570"/>
      <c r="Z726" s="570"/>
    </row>
    <row r="727" spans="1:26" ht="18.75">
      <c r="A727" s="734"/>
      <c r="B727" s="753"/>
      <c r="C727" s="753"/>
      <c r="D727" s="753"/>
      <c r="E727" s="753"/>
      <c r="F727" s="753"/>
      <c r="G727" s="185"/>
      <c r="H727" s="754" t="s">
        <v>34</v>
      </c>
      <c r="I727" s="755"/>
      <c r="J727" s="264">
        <f ca="1">IFERROR(__xludf.DUMMYFUNCTION("IMPORTRANGE(""https://docs.google.com/spreadsheets/d/1XWAQStnk-4SwqDmLtmXYiTMKHgktTP8We1SCoS47DrQ/edit?usp=sharing"",""จัดที่ดิน!BS73"")"),0)</f>
        <v>0</v>
      </c>
      <c r="K727" s="495"/>
      <c r="L727" s="756"/>
      <c r="M727" s="185"/>
      <c r="N727" s="756"/>
      <c r="O727" s="495"/>
      <c r="P727" s="495"/>
      <c r="Q727" s="570"/>
      <c r="R727" s="570"/>
      <c r="S727" s="570"/>
      <c r="T727" s="570"/>
      <c r="U727" s="570"/>
      <c r="V727" s="570"/>
      <c r="W727" s="570"/>
      <c r="X727" s="570"/>
      <c r="Y727" s="570"/>
      <c r="Z727" s="570"/>
    </row>
    <row r="728" spans="1:26" ht="18.75">
      <c r="A728" s="734"/>
      <c r="B728" s="753"/>
      <c r="C728" s="753"/>
      <c r="D728" s="753"/>
      <c r="E728" s="753"/>
      <c r="F728" s="753"/>
      <c r="G728" s="185"/>
      <c r="H728" s="754" t="s">
        <v>46</v>
      </c>
      <c r="I728" s="755">
        <f ca="1">IFERROR(__xludf.DUMMYFUNCTION("IMPORTRANGE(""https://docs.google.com/spreadsheets/d/1QqKyyYR6Q21VydFLVH3TRQUabQu_ym0Zz7PgGX0-kHA/edit?usp=sharing"",""แผน!IO73"")"),0)</f>
        <v>0</v>
      </c>
      <c r="J728" s="264">
        <f ca="1">IFERROR(__xludf.DUMMYFUNCTION("IMPORTRANGE(""https://docs.google.com/spreadsheets/d/1XWAQStnk-4SwqDmLtmXYiTMKHgktTP8We1SCoS47DrQ/edit?usp=sharing"",""จัดที่ดิน!BT73"")"),0)</f>
        <v>0</v>
      </c>
      <c r="K728" s="495">
        <f t="shared" ref="K728:K729" ca="1" si="291">IF(I728&gt;0,J728*100/I728,0)</f>
        <v>0</v>
      </c>
      <c r="L728" s="756"/>
      <c r="M728" s="185"/>
      <c r="N728" s="756"/>
      <c r="O728" s="495"/>
      <c r="P728" s="495"/>
      <c r="Q728" s="570"/>
      <c r="R728" s="570"/>
      <c r="S728" s="570"/>
      <c r="T728" s="570"/>
      <c r="U728" s="570"/>
      <c r="V728" s="570"/>
      <c r="W728" s="570"/>
      <c r="X728" s="570"/>
      <c r="Y728" s="570"/>
      <c r="Z728" s="570"/>
    </row>
    <row r="729" spans="1:26" ht="19.5">
      <c r="A729" s="734"/>
      <c r="B729" s="753"/>
      <c r="C729" s="753"/>
      <c r="D729" s="753" t="s">
        <v>308</v>
      </c>
      <c r="E729" s="753"/>
      <c r="F729" s="753"/>
      <c r="G729" s="185"/>
      <c r="H729" s="757" t="s">
        <v>46</v>
      </c>
      <c r="I729" s="758">
        <f ca="1">IFERROR(__xludf.DUMMYFUNCTION("IMPORTRANGE(""https://docs.google.com/spreadsheets/d/1QqKyyYR6Q21VydFLVH3TRQUabQu_ym0Zz7PgGX0-kHA/edit?usp=sharing"",""แผน!IP73"")"),0)</f>
        <v>0</v>
      </c>
      <c r="J729" s="673">
        <f>J732+J735</f>
        <v>0</v>
      </c>
      <c r="K729" s="191">
        <f t="shared" ca="1" si="291"/>
        <v>0</v>
      </c>
      <c r="L729" s="495"/>
      <c r="M729" s="185"/>
      <c r="N729" s="756"/>
      <c r="O729" s="495"/>
      <c r="P729" s="495"/>
      <c r="Q729" s="570"/>
      <c r="R729" s="570"/>
      <c r="S729" s="570"/>
      <c r="T729" s="570"/>
      <c r="U729" s="570"/>
      <c r="V729" s="570"/>
      <c r="W729" s="570"/>
      <c r="X729" s="570"/>
      <c r="Y729" s="570"/>
      <c r="Z729" s="570"/>
    </row>
    <row r="730" spans="1:26" ht="18.75">
      <c r="A730" s="734"/>
      <c r="B730" s="753"/>
      <c r="C730" s="753"/>
      <c r="D730" s="753"/>
      <c r="E730" s="753" t="s">
        <v>309</v>
      </c>
      <c r="F730" s="753"/>
      <c r="G730" s="185"/>
      <c r="H730" s="754" t="s">
        <v>35</v>
      </c>
      <c r="I730" s="755"/>
      <c r="J730" s="210">
        <v>0</v>
      </c>
      <c r="K730" s="495"/>
      <c r="L730" s="756"/>
      <c r="M730" s="495"/>
      <c r="N730" s="756"/>
      <c r="O730" s="495"/>
      <c r="P730" s="495"/>
      <c r="Q730" s="570"/>
      <c r="R730" s="570"/>
      <c r="S730" s="570"/>
      <c r="T730" s="570"/>
      <c r="U730" s="570"/>
      <c r="V730" s="570"/>
      <c r="W730" s="570"/>
      <c r="X730" s="570"/>
      <c r="Y730" s="570"/>
      <c r="Z730" s="570"/>
    </row>
    <row r="731" spans="1:26" ht="18.75">
      <c r="A731" s="734"/>
      <c r="B731" s="753"/>
      <c r="C731" s="753"/>
      <c r="D731" s="753"/>
      <c r="E731" s="753"/>
      <c r="F731" s="753"/>
      <c r="G731" s="185"/>
      <c r="H731" s="754" t="s">
        <v>34</v>
      </c>
      <c r="I731" s="755"/>
      <c r="J731" s="210">
        <v>0</v>
      </c>
      <c r="K731" s="495"/>
      <c r="L731" s="756"/>
      <c r="M731" s="495"/>
      <c r="N731" s="756"/>
      <c r="O731" s="495"/>
      <c r="P731" s="495"/>
      <c r="Q731" s="570"/>
      <c r="R731" s="570"/>
      <c r="S731" s="570"/>
      <c r="T731" s="570"/>
      <c r="U731" s="570"/>
      <c r="V731" s="570"/>
      <c r="W731" s="570"/>
      <c r="X731" s="570"/>
      <c r="Y731" s="570"/>
      <c r="Z731" s="570"/>
    </row>
    <row r="732" spans="1:26" ht="18.75">
      <c r="A732" s="734"/>
      <c r="B732" s="753"/>
      <c r="C732" s="753"/>
      <c r="D732" s="753"/>
      <c r="E732" s="753"/>
      <c r="F732" s="753"/>
      <c r="G732" s="185"/>
      <c r="H732" s="754" t="s">
        <v>46</v>
      </c>
      <c r="I732" s="755"/>
      <c r="J732" s="210">
        <v>0</v>
      </c>
      <c r="K732" s="495"/>
      <c r="L732" s="756"/>
      <c r="M732" s="495"/>
      <c r="N732" s="756"/>
      <c r="O732" s="495"/>
      <c r="P732" s="495"/>
      <c r="Q732" s="570"/>
      <c r="R732" s="570"/>
      <c r="S732" s="570"/>
      <c r="T732" s="570"/>
      <c r="U732" s="570"/>
      <c r="V732" s="570"/>
      <c r="W732" s="570"/>
      <c r="X732" s="570"/>
      <c r="Y732" s="570"/>
      <c r="Z732" s="570"/>
    </row>
    <row r="733" spans="1:26" ht="18.75">
      <c r="A733" s="734"/>
      <c r="B733" s="753"/>
      <c r="C733" s="753"/>
      <c r="D733" s="753"/>
      <c r="E733" s="753" t="s">
        <v>310</v>
      </c>
      <c r="F733" s="753"/>
      <c r="G733" s="185"/>
      <c r="H733" s="754" t="s">
        <v>35</v>
      </c>
      <c r="I733" s="755"/>
      <c r="J733" s="210">
        <v>0</v>
      </c>
      <c r="K733" s="495"/>
      <c r="L733" s="756"/>
      <c r="M733" s="495"/>
      <c r="N733" s="756"/>
      <c r="O733" s="495"/>
      <c r="P733" s="495"/>
      <c r="Q733" s="570"/>
      <c r="R733" s="570"/>
      <c r="S733" s="570"/>
      <c r="T733" s="570"/>
      <c r="U733" s="570"/>
      <c r="V733" s="570"/>
      <c r="W733" s="570"/>
      <c r="X733" s="570"/>
      <c r="Y733" s="570"/>
      <c r="Z733" s="570"/>
    </row>
    <row r="734" spans="1:26" ht="18.75">
      <c r="A734" s="734"/>
      <c r="B734" s="753"/>
      <c r="C734" s="753"/>
      <c r="D734" s="753"/>
      <c r="E734" s="753"/>
      <c r="F734" s="753"/>
      <c r="G734" s="185"/>
      <c r="H734" s="754" t="s">
        <v>34</v>
      </c>
      <c r="I734" s="755"/>
      <c r="J734" s="210">
        <v>0</v>
      </c>
      <c r="K734" s="495"/>
      <c r="L734" s="756"/>
      <c r="M734" s="495"/>
      <c r="N734" s="756"/>
      <c r="O734" s="495"/>
      <c r="P734" s="495"/>
      <c r="Q734" s="570"/>
      <c r="R734" s="570"/>
      <c r="S734" s="570"/>
      <c r="T734" s="570"/>
      <c r="U734" s="570"/>
      <c r="V734" s="570"/>
      <c r="W734" s="570"/>
      <c r="X734" s="570"/>
      <c r="Y734" s="570"/>
      <c r="Z734" s="570"/>
    </row>
    <row r="735" spans="1:26" ht="19.5">
      <c r="A735" s="760"/>
      <c r="B735" s="761" t="s">
        <v>311</v>
      </c>
      <c r="C735" s="724"/>
      <c r="D735" s="724"/>
      <c r="E735" s="724"/>
      <c r="F735" s="724"/>
      <c r="G735" s="725"/>
      <c r="H735" s="420" t="s">
        <v>46</v>
      </c>
      <c r="I735" s="762"/>
      <c r="J735" s="422">
        <v>0</v>
      </c>
      <c r="K735" s="499"/>
      <c r="L735" s="763"/>
      <c r="M735" s="499"/>
      <c r="N735" s="763"/>
      <c r="O735" s="499"/>
      <c r="P735" s="499"/>
      <c r="Q735" s="570"/>
      <c r="R735" s="570"/>
      <c r="S735" s="570"/>
      <c r="T735" s="570"/>
      <c r="U735" s="570"/>
      <c r="V735" s="570"/>
      <c r="W735" s="570"/>
      <c r="X735" s="570"/>
      <c r="Y735" s="570"/>
      <c r="Z735" s="570"/>
    </row>
    <row r="736" spans="1:26" ht="19.5" hidden="1">
      <c r="A736" s="764">
        <v>9</v>
      </c>
      <c r="B736" s="765" t="s">
        <v>312</v>
      </c>
      <c r="C736" s="766"/>
      <c r="D736" s="766"/>
      <c r="E736" s="766"/>
      <c r="F736" s="766"/>
      <c r="G736" s="767"/>
      <c r="H736" s="768" t="s">
        <v>46</v>
      </c>
      <c r="I736" s="769"/>
      <c r="J736" s="769">
        <f>J751</f>
        <v>0</v>
      </c>
      <c r="K736" s="770">
        <f>IF(I736&gt;0,J736*100/I736,0)</f>
        <v>0</v>
      </c>
      <c r="L736" s="771"/>
      <c r="M736" s="771"/>
      <c r="N736" s="771"/>
      <c r="O736" s="771"/>
      <c r="P736" s="771"/>
      <c r="Q736" s="596"/>
      <c r="R736" s="596"/>
      <c r="S736" s="596"/>
      <c r="T736" s="596"/>
      <c r="U736" s="596"/>
      <c r="V736" s="596"/>
      <c r="W736" s="596"/>
      <c r="X736" s="596"/>
      <c r="Y736" s="596"/>
      <c r="Z736" s="596"/>
    </row>
    <row r="737" spans="1:26" ht="19.5" hidden="1">
      <c r="A737" s="591"/>
      <c r="B737" s="749"/>
      <c r="C737" s="749" t="s">
        <v>16</v>
      </c>
      <c r="D737" s="850" t="s">
        <v>17</v>
      </c>
      <c r="E737" s="846"/>
      <c r="F737" s="846"/>
      <c r="G737" s="595"/>
      <c r="H737" s="638" t="s">
        <v>12</v>
      </c>
      <c r="I737" s="609"/>
      <c r="J737" s="609"/>
      <c r="K737" s="90"/>
      <c r="L737" s="639">
        <f t="shared" ref="L737:N737" si="292">L738+L739</f>
        <v>0</v>
      </c>
      <c r="M737" s="639">
        <f t="shared" si="292"/>
        <v>0</v>
      </c>
      <c r="N737" s="639">
        <f t="shared" si="292"/>
        <v>0</v>
      </c>
      <c r="O737" s="639">
        <f t="shared" ref="O737:O742" si="293">IF(L737&gt;0,N737*100/L737,0)</f>
        <v>0</v>
      </c>
      <c r="P737" s="639">
        <f t="shared" ref="P737:P742" si="294">IF(M737&gt;0,N737*100/M737,0)</f>
        <v>0</v>
      </c>
      <c r="Q737" s="596"/>
      <c r="R737" s="596"/>
      <c r="S737" s="596"/>
      <c r="T737" s="596"/>
      <c r="U737" s="596"/>
      <c r="V737" s="596"/>
      <c r="W737" s="596"/>
      <c r="X737" s="596"/>
      <c r="Y737" s="596"/>
      <c r="Z737" s="596"/>
    </row>
    <row r="738" spans="1:26" ht="18.75" hidden="1">
      <c r="A738" s="591"/>
      <c r="B738" s="749"/>
      <c r="C738" s="749"/>
      <c r="D738" s="710"/>
      <c r="E738" s="749" t="s">
        <v>184</v>
      </c>
      <c r="F738" s="749"/>
      <c r="G738" s="595"/>
      <c r="H738" s="161" t="s">
        <v>12</v>
      </c>
      <c r="I738" s="609"/>
      <c r="J738" s="609"/>
      <c r="K738" s="90"/>
      <c r="L738" s="90">
        <f t="shared" ref="L738:N739" si="295">L741+L748</f>
        <v>0</v>
      </c>
      <c r="M738" s="90">
        <f t="shared" si="295"/>
        <v>0</v>
      </c>
      <c r="N738" s="90">
        <f t="shared" si="295"/>
        <v>0</v>
      </c>
      <c r="O738" s="90">
        <f t="shared" si="293"/>
        <v>0</v>
      </c>
      <c r="P738" s="90">
        <f t="shared" si="294"/>
        <v>0</v>
      </c>
      <c r="Q738" s="596"/>
      <c r="R738" s="596"/>
      <c r="S738" s="596"/>
      <c r="T738" s="596"/>
      <c r="U738" s="596"/>
      <c r="V738" s="596"/>
      <c r="W738" s="596"/>
      <c r="X738" s="596"/>
      <c r="Y738" s="596"/>
      <c r="Z738" s="596"/>
    </row>
    <row r="739" spans="1:26" ht="18.75" hidden="1">
      <c r="A739" s="591"/>
      <c r="B739" s="599"/>
      <c r="C739" s="749"/>
      <c r="D739" s="710"/>
      <c r="E739" s="749" t="s">
        <v>185</v>
      </c>
      <c r="F739" s="749"/>
      <c r="G739" s="595"/>
      <c r="H739" s="161" t="s">
        <v>12</v>
      </c>
      <c r="I739" s="609"/>
      <c r="J739" s="609"/>
      <c r="K739" s="90"/>
      <c r="L739" s="90">
        <f t="shared" si="295"/>
        <v>0</v>
      </c>
      <c r="M739" s="90">
        <f t="shared" si="295"/>
        <v>0</v>
      </c>
      <c r="N739" s="90">
        <f t="shared" si="295"/>
        <v>0</v>
      </c>
      <c r="O739" s="90">
        <f t="shared" si="293"/>
        <v>0</v>
      </c>
      <c r="P739" s="90">
        <f t="shared" si="294"/>
        <v>0</v>
      </c>
      <c r="Q739" s="596"/>
      <c r="R739" s="596"/>
      <c r="S739" s="596"/>
      <c r="T739" s="596"/>
      <c r="U739" s="596"/>
      <c r="V739" s="596"/>
      <c r="W739" s="596"/>
      <c r="X739" s="596"/>
      <c r="Y739" s="596"/>
      <c r="Z739" s="596"/>
    </row>
    <row r="740" spans="1:26" ht="19.5" hidden="1">
      <c r="A740" s="591"/>
      <c r="B740" s="599"/>
      <c r="C740" s="749"/>
      <c r="D740" s="637" t="s">
        <v>20</v>
      </c>
      <c r="E740" s="749"/>
      <c r="F740" s="749"/>
      <c r="G740" s="595"/>
      <c r="H740" s="638" t="s">
        <v>12</v>
      </c>
      <c r="I740" s="162"/>
      <c r="J740" s="162"/>
      <c r="K740" s="163"/>
      <c r="L740" s="639">
        <f t="shared" ref="L740:N740" si="296">L741+L742</f>
        <v>0</v>
      </c>
      <c r="M740" s="639">
        <f t="shared" si="296"/>
        <v>0</v>
      </c>
      <c r="N740" s="639">
        <f t="shared" si="296"/>
        <v>0</v>
      </c>
      <c r="O740" s="639">
        <f t="shared" si="293"/>
        <v>0</v>
      </c>
      <c r="P740" s="639">
        <f t="shared" si="294"/>
        <v>0</v>
      </c>
      <c r="Q740" s="596"/>
      <c r="R740" s="596"/>
      <c r="S740" s="596"/>
      <c r="T740" s="596"/>
      <c r="U740" s="596"/>
      <c r="V740" s="596"/>
      <c r="W740" s="596"/>
      <c r="X740" s="596"/>
      <c r="Y740" s="596"/>
      <c r="Z740" s="596"/>
    </row>
    <row r="741" spans="1:26" ht="18.75" hidden="1">
      <c r="A741" s="591"/>
      <c r="B741" s="599"/>
      <c r="C741" s="749"/>
      <c r="D741" s="710"/>
      <c r="E741" s="749" t="s">
        <v>184</v>
      </c>
      <c r="F741" s="749"/>
      <c r="G741" s="595"/>
      <c r="H741" s="161" t="s">
        <v>12</v>
      </c>
      <c r="I741" s="609"/>
      <c r="J741" s="609"/>
      <c r="K741" s="90"/>
      <c r="L741" s="90">
        <v>0</v>
      </c>
      <c r="M741" s="90">
        <v>0</v>
      </c>
      <c r="N741" s="90">
        <v>0</v>
      </c>
      <c r="O741" s="90">
        <f t="shared" si="293"/>
        <v>0</v>
      </c>
      <c r="P741" s="90">
        <f t="shared" si="294"/>
        <v>0</v>
      </c>
      <c r="Q741" s="596"/>
      <c r="R741" s="596"/>
      <c r="S741" s="596"/>
      <c r="T741" s="596"/>
      <c r="U741" s="596"/>
      <c r="V741" s="596"/>
      <c r="W741" s="596"/>
      <c r="X741" s="596"/>
      <c r="Y741" s="596"/>
      <c r="Z741" s="596"/>
    </row>
    <row r="742" spans="1:26" ht="18.75" hidden="1">
      <c r="A742" s="591"/>
      <c r="B742" s="599"/>
      <c r="C742" s="749"/>
      <c r="D742" s="710"/>
      <c r="E742" s="749" t="s">
        <v>185</v>
      </c>
      <c r="F742" s="749"/>
      <c r="G742" s="595"/>
      <c r="H742" s="161" t="s">
        <v>12</v>
      </c>
      <c r="I742" s="609"/>
      <c r="J742" s="609"/>
      <c r="K742" s="90"/>
      <c r="L742" s="90">
        <v>0</v>
      </c>
      <c r="M742" s="90">
        <v>0</v>
      </c>
      <c r="N742" s="90">
        <f>N743+N744+N745+N746</f>
        <v>0</v>
      </c>
      <c r="O742" s="90">
        <f t="shared" si="293"/>
        <v>0</v>
      </c>
      <c r="P742" s="90">
        <f t="shared" si="294"/>
        <v>0</v>
      </c>
      <c r="Q742" s="596"/>
      <c r="R742" s="596"/>
      <c r="S742" s="596"/>
      <c r="T742" s="596"/>
      <c r="U742" s="596"/>
      <c r="V742" s="596"/>
      <c r="W742" s="596"/>
      <c r="X742" s="596"/>
      <c r="Y742" s="596"/>
      <c r="Z742" s="596"/>
    </row>
    <row r="743" spans="1:26" ht="18.75" hidden="1">
      <c r="A743" s="641"/>
      <c r="B743" s="599"/>
      <c r="C743" s="749"/>
      <c r="D743" s="749"/>
      <c r="E743" s="749"/>
      <c r="F743" s="749" t="s">
        <v>186</v>
      </c>
      <c r="G743" s="595"/>
      <c r="H743" s="161" t="s">
        <v>12</v>
      </c>
      <c r="I743" s="609"/>
      <c r="J743" s="609"/>
      <c r="K743" s="90"/>
      <c r="L743" s="90"/>
      <c r="M743" s="90"/>
      <c r="N743" s="90"/>
      <c r="O743" s="90"/>
      <c r="P743" s="90"/>
      <c r="Q743" s="596"/>
      <c r="R743" s="596"/>
      <c r="S743" s="596"/>
      <c r="T743" s="596"/>
      <c r="U743" s="596"/>
      <c r="V743" s="596"/>
      <c r="W743" s="596"/>
      <c r="X743" s="596"/>
      <c r="Y743" s="596"/>
      <c r="Z743" s="596"/>
    </row>
    <row r="744" spans="1:26" ht="18.75" hidden="1">
      <c r="A744" s="641"/>
      <c r="B744" s="599"/>
      <c r="C744" s="749"/>
      <c r="D744" s="749"/>
      <c r="E744" s="749"/>
      <c r="F744" s="749" t="s">
        <v>187</v>
      </c>
      <c r="G744" s="595"/>
      <c r="H744" s="161" t="s">
        <v>12</v>
      </c>
      <c r="I744" s="609"/>
      <c r="J744" s="609"/>
      <c r="K744" s="90"/>
      <c r="L744" s="90"/>
      <c r="M744" s="90"/>
      <c r="N744" s="90"/>
      <c r="O744" s="90"/>
      <c r="P744" s="90"/>
      <c r="Q744" s="596"/>
      <c r="R744" s="596"/>
      <c r="S744" s="596"/>
      <c r="T744" s="596"/>
      <c r="U744" s="596"/>
      <c r="V744" s="596"/>
      <c r="W744" s="596"/>
      <c r="X744" s="596"/>
      <c r="Y744" s="596"/>
      <c r="Z744" s="596"/>
    </row>
    <row r="745" spans="1:26" ht="18.75" hidden="1">
      <c r="A745" s="641"/>
      <c r="B745" s="599"/>
      <c r="C745" s="749"/>
      <c r="D745" s="749"/>
      <c r="E745" s="749"/>
      <c r="F745" s="749" t="s">
        <v>188</v>
      </c>
      <c r="G745" s="595"/>
      <c r="H745" s="161" t="s">
        <v>12</v>
      </c>
      <c r="I745" s="609"/>
      <c r="J745" s="609"/>
      <c r="K745" s="90"/>
      <c r="L745" s="90"/>
      <c r="M745" s="90"/>
      <c r="N745" s="90"/>
      <c r="O745" s="90"/>
      <c r="P745" s="90"/>
      <c r="Q745" s="596"/>
      <c r="R745" s="596"/>
      <c r="S745" s="596"/>
      <c r="T745" s="596"/>
      <c r="U745" s="596"/>
      <c r="V745" s="596"/>
      <c r="W745" s="596"/>
      <c r="X745" s="596"/>
      <c r="Y745" s="596"/>
      <c r="Z745" s="596"/>
    </row>
    <row r="746" spans="1:26" ht="18.75" hidden="1">
      <c r="A746" s="641"/>
      <c r="B746" s="599"/>
      <c r="C746" s="749"/>
      <c r="D746" s="749"/>
      <c r="E746" s="749"/>
      <c r="F746" s="749" t="s">
        <v>189</v>
      </c>
      <c r="G746" s="595"/>
      <c r="H746" s="161" t="s">
        <v>12</v>
      </c>
      <c r="I746" s="609"/>
      <c r="J746" s="609"/>
      <c r="K746" s="90"/>
      <c r="L746" s="90"/>
      <c r="M746" s="90"/>
      <c r="N746" s="90"/>
      <c r="O746" s="90"/>
      <c r="P746" s="90"/>
      <c r="Q746" s="596"/>
      <c r="R746" s="596"/>
      <c r="S746" s="596"/>
      <c r="T746" s="596"/>
      <c r="U746" s="596"/>
      <c r="V746" s="596"/>
      <c r="W746" s="596"/>
      <c r="X746" s="596"/>
      <c r="Y746" s="596"/>
      <c r="Z746" s="596"/>
    </row>
    <row r="747" spans="1:26" ht="19.5" hidden="1">
      <c r="A747" s="591"/>
      <c r="B747" s="599"/>
      <c r="C747" s="749"/>
      <c r="D747" s="637" t="s">
        <v>21</v>
      </c>
      <c r="E747" s="749"/>
      <c r="F747" s="749"/>
      <c r="G747" s="595"/>
      <c r="H747" s="773" t="s">
        <v>12</v>
      </c>
      <c r="I747" s="162"/>
      <c r="J747" s="162"/>
      <c r="K747" s="163"/>
      <c r="L747" s="639">
        <f t="shared" ref="L747:N747" si="297">L748+L749</f>
        <v>0</v>
      </c>
      <c r="M747" s="639">
        <f t="shared" si="297"/>
        <v>0</v>
      </c>
      <c r="N747" s="639">
        <f t="shared" si="297"/>
        <v>0</v>
      </c>
      <c r="O747" s="639">
        <f t="shared" ref="O747:O749" si="298">IF(L747&gt;0,N747*100/L747,0)</f>
        <v>0</v>
      </c>
      <c r="P747" s="639">
        <f t="shared" ref="P747:P749" si="299">IF(M747&gt;0,N747*100/M747,0)</f>
        <v>0</v>
      </c>
      <c r="Q747" s="596"/>
      <c r="R747" s="596"/>
      <c r="S747" s="596"/>
      <c r="T747" s="596"/>
      <c r="U747" s="596"/>
      <c r="V747" s="596"/>
      <c r="W747" s="596"/>
      <c r="X747" s="596"/>
      <c r="Y747" s="596"/>
      <c r="Z747" s="596"/>
    </row>
    <row r="748" spans="1:26" ht="18.75" hidden="1">
      <c r="A748" s="591"/>
      <c r="B748" s="599"/>
      <c r="C748" s="749"/>
      <c r="D748" s="749"/>
      <c r="E748" s="749" t="s">
        <v>18</v>
      </c>
      <c r="F748" s="749"/>
      <c r="G748" s="595"/>
      <c r="H748" s="161" t="s">
        <v>12</v>
      </c>
      <c r="I748" s="162"/>
      <c r="J748" s="162"/>
      <c r="K748" s="163"/>
      <c r="L748" s="90">
        <v>0</v>
      </c>
      <c r="M748" s="90">
        <v>0</v>
      </c>
      <c r="N748" s="90">
        <v>0</v>
      </c>
      <c r="O748" s="90">
        <f t="shared" si="298"/>
        <v>0</v>
      </c>
      <c r="P748" s="90">
        <f t="shared" si="299"/>
        <v>0</v>
      </c>
      <c r="Q748" s="596"/>
      <c r="R748" s="596"/>
      <c r="S748" s="596"/>
      <c r="T748" s="596"/>
      <c r="U748" s="596"/>
      <c r="V748" s="596"/>
      <c r="W748" s="596"/>
      <c r="X748" s="596"/>
      <c r="Y748" s="596"/>
      <c r="Z748" s="596"/>
    </row>
    <row r="749" spans="1:26" ht="18.75" hidden="1">
      <c r="A749" s="591"/>
      <c r="B749" s="599"/>
      <c r="C749" s="749"/>
      <c r="D749" s="749"/>
      <c r="E749" s="749" t="s">
        <v>19</v>
      </c>
      <c r="F749" s="749"/>
      <c r="G749" s="595"/>
      <c r="H749" s="165" t="s">
        <v>12</v>
      </c>
      <c r="I749" s="162"/>
      <c r="J749" s="162"/>
      <c r="K749" s="163"/>
      <c r="L749" s="90">
        <v>0</v>
      </c>
      <c r="M749" s="90">
        <v>0</v>
      </c>
      <c r="N749" s="90">
        <v>0</v>
      </c>
      <c r="O749" s="90">
        <f t="shared" si="298"/>
        <v>0</v>
      </c>
      <c r="P749" s="90">
        <f t="shared" si="299"/>
        <v>0</v>
      </c>
      <c r="Q749" s="596"/>
      <c r="R749" s="596"/>
      <c r="S749" s="596"/>
      <c r="T749" s="596"/>
      <c r="U749" s="596"/>
      <c r="V749" s="596"/>
      <c r="W749" s="596"/>
      <c r="X749" s="596"/>
      <c r="Y749" s="596"/>
      <c r="Z749" s="596"/>
    </row>
    <row r="750" spans="1:26" ht="19.5" hidden="1">
      <c r="A750" s="606"/>
      <c r="B750" s="608"/>
      <c r="C750" s="749" t="s">
        <v>16</v>
      </c>
      <c r="D750" s="843" t="s">
        <v>38</v>
      </c>
      <c r="E750" s="643"/>
      <c r="F750" s="643"/>
      <c r="G750" s="644"/>
      <c r="H750" s="361"/>
      <c r="I750" s="162"/>
      <c r="J750" s="162"/>
      <c r="K750" s="163"/>
      <c r="L750" s="163"/>
      <c r="M750" s="163"/>
      <c r="N750" s="163"/>
      <c r="O750" s="163"/>
      <c r="P750" s="163"/>
      <c r="Q750" s="596"/>
      <c r="R750" s="596"/>
      <c r="S750" s="596"/>
      <c r="T750" s="596"/>
      <c r="U750" s="596"/>
      <c r="V750" s="596"/>
      <c r="W750" s="596"/>
      <c r="X750" s="596"/>
      <c r="Y750" s="596"/>
      <c r="Z750" s="596"/>
    </row>
    <row r="751" spans="1:26" ht="18.75" hidden="1">
      <c r="A751" s="641"/>
      <c r="B751" s="599"/>
      <c r="C751" s="749"/>
      <c r="D751" s="749"/>
      <c r="E751" s="749" t="s">
        <v>313</v>
      </c>
      <c r="F751" s="749"/>
      <c r="G751" s="595"/>
      <c r="H751" s="161" t="s">
        <v>46</v>
      </c>
      <c r="I751" s="609"/>
      <c r="J751" s="609"/>
      <c r="K751" s="90"/>
      <c r="L751" s="90"/>
      <c r="M751" s="90"/>
      <c r="N751" s="90"/>
      <c r="O751" s="90"/>
      <c r="P751" s="90"/>
      <c r="Q751" s="596"/>
      <c r="R751" s="596"/>
      <c r="S751" s="596"/>
      <c r="T751" s="596"/>
      <c r="U751" s="596"/>
      <c r="V751" s="596"/>
      <c r="W751" s="596"/>
      <c r="X751" s="596"/>
      <c r="Y751" s="596"/>
      <c r="Z751" s="596"/>
    </row>
    <row r="752" spans="1:26" ht="18.75" hidden="1">
      <c r="A752" s="641"/>
      <c r="B752" s="599"/>
      <c r="C752" s="749"/>
      <c r="D752" s="749"/>
      <c r="E752" s="749"/>
      <c r="F752" s="749"/>
      <c r="G752" s="595"/>
      <c r="H752" s="161" t="s">
        <v>314</v>
      </c>
      <c r="I752" s="609"/>
      <c r="J752" s="609"/>
      <c r="K752" s="90"/>
      <c r="L752" s="90"/>
      <c r="M752" s="90"/>
      <c r="N752" s="90"/>
      <c r="O752" s="90"/>
      <c r="P752" s="90"/>
      <c r="Q752" s="596"/>
      <c r="R752" s="596"/>
      <c r="S752" s="596"/>
      <c r="T752" s="596"/>
      <c r="U752" s="596"/>
      <c r="V752" s="596"/>
      <c r="W752" s="596"/>
      <c r="X752" s="596"/>
      <c r="Y752" s="596"/>
      <c r="Z752" s="596"/>
    </row>
    <row r="753" spans="1:26" ht="19.5" hidden="1">
      <c r="A753" s="775">
        <v>10</v>
      </c>
      <c r="B753" s="776" t="s">
        <v>315</v>
      </c>
      <c r="C753" s="777"/>
      <c r="D753" s="777"/>
      <c r="E753" s="777"/>
      <c r="F753" s="777"/>
      <c r="G753" s="778"/>
      <c r="H753" s="779" t="s">
        <v>46</v>
      </c>
      <c r="I753" s="780"/>
      <c r="J753" s="780">
        <f>J768</f>
        <v>0</v>
      </c>
      <c r="K753" s="781">
        <f>IF(I753&gt;0,J753*100/I753,0)</f>
        <v>0</v>
      </c>
      <c r="L753" s="782"/>
      <c r="M753" s="782"/>
      <c r="N753" s="782"/>
      <c r="O753" s="782"/>
      <c r="P753" s="782"/>
      <c r="Q753" s="596"/>
      <c r="R753" s="596"/>
      <c r="S753" s="596"/>
      <c r="T753" s="596"/>
      <c r="U753" s="596"/>
      <c r="V753" s="596"/>
      <c r="W753" s="596"/>
      <c r="X753" s="596"/>
      <c r="Y753" s="596"/>
      <c r="Z753" s="596"/>
    </row>
    <row r="754" spans="1:26" ht="19.5" hidden="1">
      <c r="A754" s="591"/>
      <c r="B754" s="749"/>
      <c r="C754" s="749" t="s">
        <v>16</v>
      </c>
      <c r="D754" s="850" t="s">
        <v>17</v>
      </c>
      <c r="E754" s="846"/>
      <c r="F754" s="846"/>
      <c r="G754" s="595"/>
      <c r="H754" s="638" t="s">
        <v>12</v>
      </c>
      <c r="I754" s="609"/>
      <c r="J754" s="609"/>
      <c r="K754" s="90"/>
      <c r="L754" s="639">
        <f t="shared" ref="L754:N754" si="300">L755+L756</f>
        <v>0</v>
      </c>
      <c r="M754" s="639">
        <f t="shared" si="300"/>
        <v>0</v>
      </c>
      <c r="N754" s="639">
        <f t="shared" si="300"/>
        <v>0</v>
      </c>
      <c r="O754" s="639">
        <f t="shared" ref="O754:O759" si="301">IF(L754&gt;0,N754*100/L754,0)</f>
        <v>0</v>
      </c>
      <c r="P754" s="639">
        <f t="shared" ref="P754:P759" si="302">IF(M754&gt;0,N754*100/M754,0)</f>
        <v>0</v>
      </c>
      <c r="Q754" s="596"/>
      <c r="R754" s="596"/>
      <c r="S754" s="596"/>
      <c r="T754" s="596"/>
      <c r="U754" s="596"/>
      <c r="V754" s="596"/>
      <c r="W754" s="596"/>
      <c r="X754" s="596"/>
      <c r="Y754" s="596"/>
      <c r="Z754" s="596"/>
    </row>
    <row r="755" spans="1:26" ht="18.75" hidden="1">
      <c r="A755" s="591"/>
      <c r="B755" s="749"/>
      <c r="C755" s="749"/>
      <c r="D755" s="710"/>
      <c r="E755" s="749" t="s">
        <v>184</v>
      </c>
      <c r="F755" s="749"/>
      <c r="G755" s="595"/>
      <c r="H755" s="161" t="s">
        <v>12</v>
      </c>
      <c r="I755" s="609"/>
      <c r="J755" s="609"/>
      <c r="K755" s="90"/>
      <c r="L755" s="90">
        <f t="shared" ref="L755:N756" si="303">L758+L765</f>
        <v>0</v>
      </c>
      <c r="M755" s="90">
        <f t="shared" si="303"/>
        <v>0</v>
      </c>
      <c r="N755" s="90">
        <f t="shared" si="303"/>
        <v>0</v>
      </c>
      <c r="O755" s="90">
        <f t="shared" si="301"/>
        <v>0</v>
      </c>
      <c r="P755" s="90">
        <f t="shared" si="302"/>
        <v>0</v>
      </c>
      <c r="Q755" s="596"/>
      <c r="R755" s="596"/>
      <c r="S755" s="596"/>
      <c r="T755" s="596"/>
      <c r="U755" s="596"/>
      <c r="V755" s="596"/>
      <c r="W755" s="596"/>
      <c r="X755" s="596"/>
      <c r="Y755" s="596"/>
      <c r="Z755" s="596"/>
    </row>
    <row r="756" spans="1:26" ht="18.75" hidden="1">
      <c r="A756" s="591"/>
      <c r="B756" s="599"/>
      <c r="C756" s="749"/>
      <c r="D756" s="710"/>
      <c r="E756" s="749" t="s">
        <v>185</v>
      </c>
      <c r="F756" s="749"/>
      <c r="G756" s="595"/>
      <c r="H756" s="161" t="s">
        <v>12</v>
      </c>
      <c r="I756" s="609"/>
      <c r="J756" s="609"/>
      <c r="K756" s="90"/>
      <c r="L756" s="90">
        <f t="shared" si="303"/>
        <v>0</v>
      </c>
      <c r="M756" s="90">
        <f t="shared" si="303"/>
        <v>0</v>
      </c>
      <c r="N756" s="90">
        <f t="shared" si="303"/>
        <v>0</v>
      </c>
      <c r="O756" s="90">
        <f t="shared" si="301"/>
        <v>0</v>
      </c>
      <c r="P756" s="90">
        <f t="shared" si="302"/>
        <v>0</v>
      </c>
      <c r="Q756" s="596"/>
      <c r="R756" s="596"/>
      <c r="S756" s="596"/>
      <c r="T756" s="596"/>
      <c r="U756" s="596"/>
      <c r="V756" s="596"/>
      <c r="W756" s="596"/>
      <c r="X756" s="596"/>
      <c r="Y756" s="596"/>
      <c r="Z756" s="596"/>
    </row>
    <row r="757" spans="1:26" ht="19.5" hidden="1">
      <c r="A757" s="591"/>
      <c r="B757" s="599"/>
      <c r="C757" s="749"/>
      <c r="D757" s="637" t="s">
        <v>20</v>
      </c>
      <c r="E757" s="749"/>
      <c r="F757" s="749"/>
      <c r="G757" s="595"/>
      <c r="H757" s="638" t="s">
        <v>12</v>
      </c>
      <c r="I757" s="162"/>
      <c r="J757" s="162"/>
      <c r="K757" s="163"/>
      <c r="L757" s="639">
        <f t="shared" ref="L757:N757" si="304">L758+L759</f>
        <v>0</v>
      </c>
      <c r="M757" s="639">
        <f t="shared" si="304"/>
        <v>0</v>
      </c>
      <c r="N757" s="639">
        <f t="shared" si="304"/>
        <v>0</v>
      </c>
      <c r="O757" s="639">
        <f t="shared" si="301"/>
        <v>0</v>
      </c>
      <c r="P757" s="639">
        <f t="shared" si="302"/>
        <v>0</v>
      </c>
      <c r="Q757" s="596"/>
      <c r="R757" s="596"/>
      <c r="S757" s="596"/>
      <c r="T757" s="596"/>
      <c r="U757" s="596"/>
      <c r="V757" s="596"/>
      <c r="W757" s="596"/>
      <c r="X757" s="596"/>
      <c r="Y757" s="596"/>
      <c r="Z757" s="596"/>
    </row>
    <row r="758" spans="1:26" ht="18.75" hidden="1">
      <c r="A758" s="591"/>
      <c r="B758" s="599"/>
      <c r="C758" s="749"/>
      <c r="D758" s="710"/>
      <c r="E758" s="749" t="s">
        <v>184</v>
      </c>
      <c r="F758" s="749"/>
      <c r="G758" s="595"/>
      <c r="H758" s="161" t="s">
        <v>12</v>
      </c>
      <c r="I758" s="609"/>
      <c r="J758" s="609"/>
      <c r="K758" s="90"/>
      <c r="L758" s="90">
        <v>0</v>
      </c>
      <c r="M758" s="90">
        <v>0</v>
      </c>
      <c r="N758" s="90">
        <v>0</v>
      </c>
      <c r="O758" s="90">
        <f t="shared" si="301"/>
        <v>0</v>
      </c>
      <c r="P758" s="90">
        <f t="shared" si="302"/>
        <v>0</v>
      </c>
      <c r="Q758" s="596"/>
      <c r="R758" s="596"/>
      <c r="S758" s="596"/>
      <c r="T758" s="596"/>
      <c r="U758" s="596"/>
      <c r="V758" s="596"/>
      <c r="W758" s="596"/>
      <c r="X758" s="596"/>
      <c r="Y758" s="596"/>
      <c r="Z758" s="596"/>
    </row>
    <row r="759" spans="1:26" ht="18.75" hidden="1">
      <c r="A759" s="591"/>
      <c r="B759" s="599"/>
      <c r="C759" s="749"/>
      <c r="D759" s="710"/>
      <c r="E759" s="749" t="s">
        <v>185</v>
      </c>
      <c r="F759" s="749"/>
      <c r="G759" s="595"/>
      <c r="H759" s="161" t="s">
        <v>12</v>
      </c>
      <c r="I759" s="609"/>
      <c r="J759" s="609"/>
      <c r="K759" s="90"/>
      <c r="L759" s="90">
        <v>0</v>
      </c>
      <c r="M759" s="90">
        <v>0</v>
      </c>
      <c r="N759" s="90">
        <f>N760+N761+N762+N763</f>
        <v>0</v>
      </c>
      <c r="O759" s="90">
        <f t="shared" si="301"/>
        <v>0</v>
      </c>
      <c r="P759" s="90">
        <f t="shared" si="302"/>
        <v>0</v>
      </c>
      <c r="Q759" s="596"/>
      <c r="R759" s="596"/>
      <c r="S759" s="596"/>
      <c r="T759" s="596"/>
      <c r="U759" s="596"/>
      <c r="V759" s="596"/>
      <c r="W759" s="596"/>
      <c r="X759" s="596"/>
      <c r="Y759" s="596"/>
      <c r="Z759" s="596"/>
    </row>
    <row r="760" spans="1:26" ht="18.75" hidden="1">
      <c r="A760" s="641"/>
      <c r="B760" s="599"/>
      <c r="C760" s="749"/>
      <c r="D760" s="749"/>
      <c r="E760" s="749"/>
      <c r="F760" s="749" t="s">
        <v>186</v>
      </c>
      <c r="G760" s="595"/>
      <c r="H760" s="161" t="s">
        <v>12</v>
      </c>
      <c r="I760" s="609"/>
      <c r="J760" s="609"/>
      <c r="K760" s="90"/>
      <c r="L760" s="90"/>
      <c r="M760" s="90"/>
      <c r="N760" s="90"/>
      <c r="O760" s="90"/>
      <c r="P760" s="90"/>
      <c r="Q760" s="596"/>
      <c r="R760" s="596"/>
      <c r="S760" s="596"/>
      <c r="T760" s="596"/>
      <c r="U760" s="596"/>
      <c r="V760" s="596"/>
      <c r="W760" s="596"/>
      <c r="X760" s="596"/>
      <c r="Y760" s="596"/>
      <c r="Z760" s="596"/>
    </row>
    <row r="761" spans="1:26" ht="18.75" hidden="1">
      <c r="A761" s="641"/>
      <c r="B761" s="599"/>
      <c r="C761" s="749"/>
      <c r="D761" s="749"/>
      <c r="E761" s="749"/>
      <c r="F761" s="749" t="s">
        <v>187</v>
      </c>
      <c r="G761" s="595"/>
      <c r="H761" s="161" t="s">
        <v>12</v>
      </c>
      <c r="I761" s="609"/>
      <c r="J761" s="609"/>
      <c r="K761" s="90"/>
      <c r="L761" s="90"/>
      <c r="M761" s="90"/>
      <c r="N761" s="90"/>
      <c r="O761" s="90"/>
      <c r="P761" s="90"/>
      <c r="Q761" s="596"/>
      <c r="R761" s="596"/>
      <c r="S761" s="596"/>
      <c r="T761" s="596"/>
      <c r="U761" s="596"/>
      <c r="V761" s="596"/>
      <c r="W761" s="596"/>
      <c r="X761" s="596"/>
      <c r="Y761" s="596"/>
      <c r="Z761" s="596"/>
    </row>
    <row r="762" spans="1:26" ht="18.75" hidden="1">
      <c r="A762" s="641"/>
      <c r="B762" s="599"/>
      <c r="C762" s="749"/>
      <c r="D762" s="749"/>
      <c r="E762" s="749"/>
      <c r="F762" s="749" t="s">
        <v>188</v>
      </c>
      <c r="G762" s="595"/>
      <c r="H762" s="161" t="s">
        <v>12</v>
      </c>
      <c r="I762" s="609"/>
      <c r="J762" s="609"/>
      <c r="K762" s="90"/>
      <c r="L762" s="90"/>
      <c r="M762" s="90"/>
      <c r="N762" s="90"/>
      <c r="O762" s="90"/>
      <c r="P762" s="90"/>
      <c r="Q762" s="596"/>
      <c r="R762" s="596"/>
      <c r="S762" s="596"/>
      <c r="T762" s="596"/>
      <c r="U762" s="596"/>
      <c r="V762" s="596"/>
      <c r="W762" s="596"/>
      <c r="X762" s="596"/>
      <c r="Y762" s="596"/>
      <c r="Z762" s="596"/>
    </row>
    <row r="763" spans="1:26" ht="18.75" hidden="1">
      <c r="A763" s="641"/>
      <c r="B763" s="599"/>
      <c r="C763" s="749"/>
      <c r="D763" s="749"/>
      <c r="E763" s="749"/>
      <c r="F763" s="749" t="s">
        <v>189</v>
      </c>
      <c r="G763" s="595"/>
      <c r="H763" s="161" t="s">
        <v>12</v>
      </c>
      <c r="I763" s="609"/>
      <c r="J763" s="609"/>
      <c r="K763" s="90"/>
      <c r="L763" s="90"/>
      <c r="M763" s="90"/>
      <c r="N763" s="90"/>
      <c r="O763" s="90"/>
      <c r="P763" s="90"/>
      <c r="Q763" s="596"/>
      <c r="R763" s="596"/>
      <c r="S763" s="596"/>
      <c r="T763" s="596"/>
      <c r="U763" s="596"/>
      <c r="V763" s="596"/>
      <c r="W763" s="596"/>
      <c r="X763" s="596"/>
      <c r="Y763" s="596"/>
      <c r="Z763" s="596"/>
    </row>
    <row r="764" spans="1:26" ht="19.5" hidden="1">
      <c r="A764" s="591"/>
      <c r="B764" s="599"/>
      <c r="C764" s="749"/>
      <c r="D764" s="637" t="s">
        <v>21</v>
      </c>
      <c r="E764" s="749"/>
      <c r="F764" s="749"/>
      <c r="G764" s="595"/>
      <c r="H764" s="773" t="s">
        <v>12</v>
      </c>
      <c r="I764" s="162"/>
      <c r="J764" s="162"/>
      <c r="K764" s="163"/>
      <c r="L764" s="639">
        <f t="shared" ref="L764:N764" si="305">L765+L766</f>
        <v>0</v>
      </c>
      <c r="M764" s="639">
        <f t="shared" si="305"/>
        <v>0</v>
      </c>
      <c r="N764" s="639">
        <f t="shared" si="305"/>
        <v>0</v>
      </c>
      <c r="O764" s="639">
        <f t="shared" ref="O764:O766" si="306">IF(L764&gt;0,N764*100/L764,0)</f>
        <v>0</v>
      </c>
      <c r="P764" s="639">
        <f t="shared" ref="P764:P766" si="307">IF(M764&gt;0,N764*100/M764,0)</f>
        <v>0</v>
      </c>
      <c r="Q764" s="596"/>
      <c r="R764" s="596"/>
      <c r="S764" s="596"/>
      <c r="T764" s="596"/>
      <c r="U764" s="596"/>
      <c r="V764" s="596"/>
      <c r="W764" s="596"/>
      <c r="X764" s="596"/>
      <c r="Y764" s="596"/>
      <c r="Z764" s="596"/>
    </row>
    <row r="765" spans="1:26" ht="18.75" hidden="1">
      <c r="A765" s="591"/>
      <c r="B765" s="599"/>
      <c r="C765" s="749"/>
      <c r="D765" s="749"/>
      <c r="E765" s="749" t="s">
        <v>18</v>
      </c>
      <c r="F765" s="749"/>
      <c r="G765" s="595"/>
      <c r="H765" s="161" t="s">
        <v>12</v>
      </c>
      <c r="I765" s="162"/>
      <c r="J765" s="162"/>
      <c r="K765" s="163"/>
      <c r="L765" s="90">
        <v>0</v>
      </c>
      <c r="M765" s="90">
        <v>0</v>
      </c>
      <c r="N765" s="90">
        <v>0</v>
      </c>
      <c r="O765" s="90">
        <f t="shared" si="306"/>
        <v>0</v>
      </c>
      <c r="P765" s="90">
        <f t="shared" si="307"/>
        <v>0</v>
      </c>
      <c r="Q765" s="596"/>
      <c r="R765" s="596"/>
      <c r="S765" s="596"/>
      <c r="T765" s="596"/>
      <c r="U765" s="596"/>
      <c r="V765" s="596"/>
      <c r="W765" s="596"/>
      <c r="X765" s="596"/>
      <c r="Y765" s="596"/>
      <c r="Z765" s="596"/>
    </row>
    <row r="766" spans="1:26" ht="18.75" hidden="1">
      <c r="A766" s="591"/>
      <c r="B766" s="599"/>
      <c r="C766" s="749"/>
      <c r="D766" s="749"/>
      <c r="E766" s="749" t="s">
        <v>19</v>
      </c>
      <c r="F766" s="749"/>
      <c r="G766" s="595"/>
      <c r="H766" s="165" t="s">
        <v>12</v>
      </c>
      <c r="I766" s="162"/>
      <c r="J766" s="162"/>
      <c r="K766" s="163"/>
      <c r="L766" s="90">
        <v>0</v>
      </c>
      <c r="M766" s="90">
        <v>0</v>
      </c>
      <c r="N766" s="90">
        <v>0</v>
      </c>
      <c r="O766" s="90">
        <f t="shared" si="306"/>
        <v>0</v>
      </c>
      <c r="P766" s="90">
        <f t="shared" si="307"/>
        <v>0</v>
      </c>
      <c r="Q766" s="596"/>
      <c r="R766" s="596"/>
      <c r="S766" s="596"/>
      <c r="T766" s="596"/>
      <c r="U766" s="596"/>
      <c r="V766" s="596"/>
      <c r="W766" s="596"/>
      <c r="X766" s="596"/>
      <c r="Y766" s="596"/>
      <c r="Z766" s="596"/>
    </row>
    <row r="767" spans="1:26" ht="19.5" hidden="1">
      <c r="A767" s="606"/>
      <c r="B767" s="608"/>
      <c r="C767" s="749" t="s">
        <v>16</v>
      </c>
      <c r="D767" s="843" t="s">
        <v>38</v>
      </c>
      <c r="E767" s="643"/>
      <c r="F767" s="643"/>
      <c r="G767" s="644"/>
      <c r="H767" s="361"/>
      <c r="I767" s="162"/>
      <c r="J767" s="162"/>
      <c r="K767" s="163"/>
      <c r="L767" s="163"/>
      <c r="M767" s="163"/>
      <c r="N767" s="163"/>
      <c r="O767" s="163"/>
      <c r="P767" s="163"/>
      <c r="Q767" s="596"/>
      <c r="R767" s="596"/>
      <c r="S767" s="596"/>
      <c r="T767" s="596"/>
      <c r="U767" s="596"/>
      <c r="V767" s="596"/>
      <c r="W767" s="596"/>
      <c r="X767" s="596"/>
      <c r="Y767" s="596"/>
      <c r="Z767" s="596"/>
    </row>
    <row r="768" spans="1:26" ht="18.75" hidden="1">
      <c r="A768" s="641"/>
      <c r="B768" s="599"/>
      <c r="C768" s="749"/>
      <c r="D768" s="749"/>
      <c r="E768" s="749" t="s">
        <v>316</v>
      </c>
      <c r="F768" s="749"/>
      <c r="G768" s="595"/>
      <c r="H768" s="161" t="s">
        <v>46</v>
      </c>
      <c r="I768" s="609"/>
      <c r="J768" s="609"/>
      <c r="K768" s="90"/>
      <c r="L768" s="90"/>
      <c r="M768" s="90"/>
      <c r="N768" s="90"/>
      <c r="O768" s="90"/>
      <c r="P768" s="90"/>
      <c r="Q768" s="596"/>
      <c r="R768" s="596"/>
      <c r="S768" s="596"/>
      <c r="T768" s="596"/>
      <c r="U768" s="596"/>
      <c r="V768" s="596"/>
      <c r="W768" s="596"/>
      <c r="X768" s="596"/>
      <c r="Y768" s="596"/>
      <c r="Z768" s="596"/>
    </row>
    <row r="769" spans="1:26" ht="19.5" hidden="1">
      <c r="A769" s="783">
        <v>11</v>
      </c>
      <c r="B769" s="784" t="s">
        <v>317</v>
      </c>
      <c r="C769" s="785"/>
      <c r="D769" s="785"/>
      <c r="E769" s="785"/>
      <c r="F769" s="785"/>
      <c r="G769" s="786"/>
      <c r="H769" s="787" t="s">
        <v>46</v>
      </c>
      <c r="I769" s="788"/>
      <c r="J769" s="788">
        <f>J784</f>
        <v>0</v>
      </c>
      <c r="K769" s="789">
        <f>IF(I769&gt;0,J769*100/I769,0)</f>
        <v>0</v>
      </c>
      <c r="L769" s="790"/>
      <c r="M769" s="790"/>
      <c r="N769" s="790"/>
      <c r="O769" s="790"/>
      <c r="P769" s="790"/>
      <c r="Q769" s="596"/>
      <c r="R769" s="596"/>
      <c r="S769" s="596"/>
      <c r="T769" s="596"/>
      <c r="U769" s="596"/>
      <c r="V769" s="596"/>
      <c r="W769" s="596"/>
      <c r="X769" s="596"/>
      <c r="Y769" s="596"/>
      <c r="Z769" s="596"/>
    </row>
    <row r="770" spans="1:26" ht="19.5" hidden="1">
      <c r="A770" s="591"/>
      <c r="B770" s="749"/>
      <c r="C770" s="749" t="s">
        <v>16</v>
      </c>
      <c r="D770" s="850" t="s">
        <v>17</v>
      </c>
      <c r="E770" s="846"/>
      <c r="F770" s="846"/>
      <c r="G770" s="595"/>
      <c r="H770" s="638" t="s">
        <v>12</v>
      </c>
      <c r="I770" s="609"/>
      <c r="J770" s="609"/>
      <c r="K770" s="90"/>
      <c r="L770" s="639">
        <f t="shared" ref="L770:N770" si="308">L771+L772</f>
        <v>0</v>
      </c>
      <c r="M770" s="639">
        <f t="shared" si="308"/>
        <v>0</v>
      </c>
      <c r="N770" s="639">
        <f t="shared" si="308"/>
        <v>0</v>
      </c>
      <c r="O770" s="639">
        <f t="shared" ref="O770:O775" si="309">IF(L770&gt;0,N770*100/L770,0)</f>
        <v>0</v>
      </c>
      <c r="P770" s="639">
        <f t="shared" ref="P770:P775" si="310">IF(M770&gt;0,N770*100/M770,0)</f>
        <v>0</v>
      </c>
      <c r="Q770" s="596"/>
      <c r="R770" s="596"/>
      <c r="S770" s="596"/>
      <c r="T770" s="596"/>
      <c r="U770" s="596"/>
      <c r="V770" s="596"/>
      <c r="W770" s="596"/>
      <c r="X770" s="596"/>
      <c r="Y770" s="596"/>
      <c r="Z770" s="596"/>
    </row>
    <row r="771" spans="1:26" ht="18.75" hidden="1">
      <c r="A771" s="591"/>
      <c r="B771" s="749"/>
      <c r="C771" s="749"/>
      <c r="D771" s="710"/>
      <c r="E771" s="749" t="s">
        <v>184</v>
      </c>
      <c r="F771" s="749"/>
      <c r="G771" s="595"/>
      <c r="H771" s="161" t="s">
        <v>12</v>
      </c>
      <c r="I771" s="609"/>
      <c r="J771" s="609"/>
      <c r="K771" s="90"/>
      <c r="L771" s="90">
        <f t="shared" ref="L771:N772" si="311">L774+L781</f>
        <v>0</v>
      </c>
      <c r="M771" s="90">
        <f t="shared" si="311"/>
        <v>0</v>
      </c>
      <c r="N771" s="90">
        <f t="shared" si="311"/>
        <v>0</v>
      </c>
      <c r="O771" s="90">
        <f t="shared" si="309"/>
        <v>0</v>
      </c>
      <c r="P771" s="90">
        <f t="shared" si="310"/>
        <v>0</v>
      </c>
      <c r="Q771" s="596"/>
      <c r="R771" s="596"/>
      <c r="S771" s="596"/>
      <c r="T771" s="596"/>
      <c r="U771" s="596"/>
      <c r="V771" s="596"/>
      <c r="W771" s="596"/>
      <c r="X771" s="596"/>
      <c r="Y771" s="596"/>
      <c r="Z771" s="596"/>
    </row>
    <row r="772" spans="1:26" ht="18.75" hidden="1">
      <c r="A772" s="591"/>
      <c r="B772" s="599"/>
      <c r="C772" s="749"/>
      <c r="D772" s="710"/>
      <c r="E772" s="749" t="s">
        <v>185</v>
      </c>
      <c r="F772" s="749"/>
      <c r="G772" s="595"/>
      <c r="H772" s="161" t="s">
        <v>12</v>
      </c>
      <c r="I772" s="609"/>
      <c r="J772" s="609"/>
      <c r="K772" s="90"/>
      <c r="L772" s="90">
        <f t="shared" si="311"/>
        <v>0</v>
      </c>
      <c r="M772" s="90">
        <f t="shared" si="311"/>
        <v>0</v>
      </c>
      <c r="N772" s="90">
        <f t="shared" si="311"/>
        <v>0</v>
      </c>
      <c r="O772" s="90">
        <f t="shared" si="309"/>
        <v>0</v>
      </c>
      <c r="P772" s="90">
        <f t="shared" si="310"/>
        <v>0</v>
      </c>
      <c r="Q772" s="596"/>
      <c r="R772" s="596"/>
      <c r="S772" s="596"/>
      <c r="T772" s="596"/>
      <c r="U772" s="596"/>
      <c r="V772" s="596"/>
      <c r="W772" s="596"/>
      <c r="X772" s="596"/>
      <c r="Y772" s="596"/>
      <c r="Z772" s="596"/>
    </row>
    <row r="773" spans="1:26" ht="19.5" hidden="1">
      <c r="A773" s="591"/>
      <c r="B773" s="599"/>
      <c r="C773" s="749"/>
      <c r="D773" s="637" t="s">
        <v>20</v>
      </c>
      <c r="E773" s="749"/>
      <c r="F773" s="749"/>
      <c r="G773" s="595"/>
      <c r="H773" s="638" t="s">
        <v>12</v>
      </c>
      <c r="I773" s="162"/>
      <c r="J773" s="162"/>
      <c r="K773" s="163"/>
      <c r="L773" s="639">
        <f t="shared" ref="L773:N773" si="312">L774+L775</f>
        <v>0</v>
      </c>
      <c r="M773" s="639">
        <f t="shared" si="312"/>
        <v>0</v>
      </c>
      <c r="N773" s="639">
        <f t="shared" si="312"/>
        <v>0</v>
      </c>
      <c r="O773" s="639">
        <f t="shared" si="309"/>
        <v>0</v>
      </c>
      <c r="P773" s="639">
        <f t="shared" si="310"/>
        <v>0</v>
      </c>
      <c r="Q773" s="596"/>
      <c r="R773" s="596"/>
      <c r="S773" s="596"/>
      <c r="T773" s="596"/>
      <c r="U773" s="596"/>
      <c r="V773" s="596"/>
      <c r="W773" s="596"/>
      <c r="X773" s="596"/>
      <c r="Y773" s="596"/>
      <c r="Z773" s="596"/>
    </row>
    <row r="774" spans="1:26" ht="18.75" hidden="1">
      <c r="A774" s="591"/>
      <c r="B774" s="599"/>
      <c r="C774" s="749"/>
      <c r="D774" s="710"/>
      <c r="E774" s="749" t="s">
        <v>184</v>
      </c>
      <c r="F774" s="749"/>
      <c r="G774" s="595"/>
      <c r="H774" s="161" t="s">
        <v>12</v>
      </c>
      <c r="I774" s="609"/>
      <c r="J774" s="609"/>
      <c r="K774" s="90"/>
      <c r="L774" s="90">
        <v>0</v>
      </c>
      <c r="M774" s="90">
        <v>0</v>
      </c>
      <c r="N774" s="90">
        <v>0</v>
      </c>
      <c r="O774" s="90">
        <f t="shared" si="309"/>
        <v>0</v>
      </c>
      <c r="P774" s="90">
        <f t="shared" si="310"/>
        <v>0</v>
      </c>
      <c r="Q774" s="596"/>
      <c r="R774" s="596"/>
      <c r="S774" s="596"/>
      <c r="T774" s="596"/>
      <c r="U774" s="596"/>
      <c r="V774" s="596"/>
      <c r="W774" s="596"/>
      <c r="X774" s="596"/>
      <c r="Y774" s="596"/>
      <c r="Z774" s="596"/>
    </row>
    <row r="775" spans="1:26" ht="18.75" hidden="1">
      <c r="A775" s="591"/>
      <c r="B775" s="599"/>
      <c r="C775" s="749"/>
      <c r="D775" s="710"/>
      <c r="E775" s="749" t="s">
        <v>185</v>
      </c>
      <c r="F775" s="749"/>
      <c r="G775" s="595"/>
      <c r="H775" s="161" t="s">
        <v>12</v>
      </c>
      <c r="I775" s="609"/>
      <c r="J775" s="609"/>
      <c r="K775" s="90"/>
      <c r="L775" s="90">
        <v>0</v>
      </c>
      <c r="M775" s="90">
        <v>0</v>
      </c>
      <c r="N775" s="90">
        <f>N776+N777+N778+N779</f>
        <v>0</v>
      </c>
      <c r="O775" s="90">
        <f t="shared" si="309"/>
        <v>0</v>
      </c>
      <c r="P775" s="90">
        <f t="shared" si="310"/>
        <v>0</v>
      </c>
      <c r="Q775" s="596"/>
      <c r="R775" s="596"/>
      <c r="S775" s="596"/>
      <c r="T775" s="596"/>
      <c r="U775" s="596"/>
      <c r="V775" s="596"/>
      <c r="W775" s="596"/>
      <c r="X775" s="596"/>
      <c r="Y775" s="596"/>
      <c r="Z775" s="596"/>
    </row>
    <row r="776" spans="1:26" ht="18.75" hidden="1">
      <c r="A776" s="641"/>
      <c r="B776" s="599"/>
      <c r="C776" s="749"/>
      <c r="D776" s="749"/>
      <c r="E776" s="749"/>
      <c r="F776" s="749" t="s">
        <v>186</v>
      </c>
      <c r="G776" s="595"/>
      <c r="H776" s="161" t="s">
        <v>12</v>
      </c>
      <c r="I776" s="609"/>
      <c r="J776" s="609"/>
      <c r="K776" s="90"/>
      <c r="L776" s="90"/>
      <c r="M776" s="90"/>
      <c r="N776" s="90"/>
      <c r="O776" s="90"/>
      <c r="P776" s="90"/>
      <c r="Q776" s="596"/>
      <c r="R776" s="596"/>
      <c r="S776" s="596"/>
      <c r="T776" s="596"/>
      <c r="U776" s="596"/>
      <c r="V776" s="596"/>
      <c r="W776" s="596"/>
      <c r="X776" s="596"/>
      <c r="Y776" s="596"/>
      <c r="Z776" s="596"/>
    </row>
    <row r="777" spans="1:26" ht="18.75" hidden="1">
      <c r="A777" s="641"/>
      <c r="B777" s="599"/>
      <c r="C777" s="749"/>
      <c r="D777" s="749"/>
      <c r="E777" s="749"/>
      <c r="F777" s="749" t="s">
        <v>187</v>
      </c>
      <c r="G777" s="595"/>
      <c r="H777" s="161" t="s">
        <v>12</v>
      </c>
      <c r="I777" s="609"/>
      <c r="J777" s="609"/>
      <c r="K777" s="90"/>
      <c r="L777" s="90"/>
      <c r="M777" s="90"/>
      <c r="N777" s="90"/>
      <c r="O777" s="90"/>
      <c r="P777" s="90"/>
      <c r="Q777" s="596"/>
      <c r="R777" s="596"/>
      <c r="S777" s="596"/>
      <c r="T777" s="596"/>
      <c r="U777" s="596"/>
      <c r="V777" s="596"/>
      <c r="W777" s="596"/>
      <c r="X777" s="596"/>
      <c r="Y777" s="596"/>
      <c r="Z777" s="596"/>
    </row>
    <row r="778" spans="1:26" ht="18.75" hidden="1">
      <c r="A778" s="641"/>
      <c r="B778" s="599"/>
      <c r="C778" s="749"/>
      <c r="D778" s="749"/>
      <c r="E778" s="749"/>
      <c r="F778" s="749" t="s">
        <v>188</v>
      </c>
      <c r="G778" s="595"/>
      <c r="H778" s="161" t="s">
        <v>12</v>
      </c>
      <c r="I778" s="609"/>
      <c r="J778" s="609"/>
      <c r="K778" s="90"/>
      <c r="L778" s="90"/>
      <c r="M778" s="90"/>
      <c r="N778" s="90"/>
      <c r="O778" s="90"/>
      <c r="P778" s="90"/>
      <c r="Q778" s="596"/>
      <c r="R778" s="596"/>
      <c r="S778" s="596"/>
      <c r="T778" s="596"/>
      <c r="U778" s="596"/>
      <c r="V778" s="596"/>
      <c r="W778" s="596"/>
      <c r="X778" s="596"/>
      <c r="Y778" s="596"/>
      <c r="Z778" s="596"/>
    </row>
    <row r="779" spans="1:26" ht="18.75" hidden="1">
      <c r="A779" s="641"/>
      <c r="B779" s="599"/>
      <c r="C779" s="749"/>
      <c r="D779" s="749"/>
      <c r="E779" s="749"/>
      <c r="F779" s="749" t="s">
        <v>189</v>
      </c>
      <c r="G779" s="595"/>
      <c r="H779" s="161" t="s">
        <v>12</v>
      </c>
      <c r="I779" s="609"/>
      <c r="J779" s="609"/>
      <c r="K779" s="90"/>
      <c r="L779" s="90"/>
      <c r="M779" s="90"/>
      <c r="N779" s="90"/>
      <c r="O779" s="90"/>
      <c r="P779" s="90"/>
      <c r="Q779" s="596"/>
      <c r="R779" s="596"/>
      <c r="S779" s="596"/>
      <c r="T779" s="596"/>
      <c r="U779" s="596"/>
      <c r="V779" s="596"/>
      <c r="W779" s="596"/>
      <c r="X779" s="596"/>
      <c r="Y779" s="596"/>
      <c r="Z779" s="596"/>
    </row>
    <row r="780" spans="1:26" ht="19.5" hidden="1">
      <c r="A780" s="591"/>
      <c r="B780" s="599"/>
      <c r="C780" s="749"/>
      <c r="D780" s="637" t="s">
        <v>21</v>
      </c>
      <c r="E780" s="749"/>
      <c r="F780" s="749"/>
      <c r="G780" s="595"/>
      <c r="H780" s="773" t="s">
        <v>12</v>
      </c>
      <c r="I780" s="162"/>
      <c r="J780" s="162"/>
      <c r="K780" s="163"/>
      <c r="L780" s="639">
        <f t="shared" ref="L780:N780" si="313">L781+L782</f>
        <v>0</v>
      </c>
      <c r="M780" s="639">
        <f t="shared" si="313"/>
        <v>0</v>
      </c>
      <c r="N780" s="639">
        <f t="shared" si="313"/>
        <v>0</v>
      </c>
      <c r="O780" s="639">
        <f t="shared" ref="O780:O782" si="314">IF(L780&gt;0,N780*100/L780,0)</f>
        <v>0</v>
      </c>
      <c r="P780" s="639">
        <f t="shared" ref="P780:P782" si="315">IF(M780&gt;0,N780*100/M780,0)</f>
        <v>0</v>
      </c>
      <c r="Q780" s="596"/>
      <c r="R780" s="596"/>
      <c r="S780" s="596"/>
      <c r="T780" s="596"/>
      <c r="U780" s="596"/>
      <c r="V780" s="596"/>
      <c r="W780" s="596"/>
      <c r="X780" s="596"/>
      <c r="Y780" s="596"/>
      <c r="Z780" s="596"/>
    </row>
    <row r="781" spans="1:26" ht="18.75" hidden="1">
      <c r="A781" s="591"/>
      <c r="B781" s="599"/>
      <c r="C781" s="749"/>
      <c r="D781" s="749"/>
      <c r="E781" s="749" t="s">
        <v>18</v>
      </c>
      <c r="F781" s="749"/>
      <c r="G781" s="595"/>
      <c r="H781" s="161" t="s">
        <v>12</v>
      </c>
      <c r="I781" s="162"/>
      <c r="J781" s="162"/>
      <c r="K781" s="163"/>
      <c r="L781" s="90">
        <v>0</v>
      </c>
      <c r="M781" s="90">
        <v>0</v>
      </c>
      <c r="N781" s="90">
        <v>0</v>
      </c>
      <c r="O781" s="90">
        <f t="shared" si="314"/>
        <v>0</v>
      </c>
      <c r="P781" s="90">
        <f t="shared" si="315"/>
        <v>0</v>
      </c>
      <c r="Q781" s="596"/>
      <c r="R781" s="596"/>
      <c r="S781" s="596"/>
      <c r="T781" s="596"/>
      <c r="U781" s="596"/>
      <c r="V781" s="596"/>
      <c r="W781" s="596"/>
      <c r="X781" s="596"/>
      <c r="Y781" s="596"/>
      <c r="Z781" s="596"/>
    </row>
    <row r="782" spans="1:26" ht="18.75" hidden="1">
      <c r="A782" s="591"/>
      <c r="B782" s="599"/>
      <c r="C782" s="749"/>
      <c r="D782" s="749"/>
      <c r="E782" s="749" t="s">
        <v>19</v>
      </c>
      <c r="F782" s="749"/>
      <c r="G782" s="595"/>
      <c r="H782" s="165" t="s">
        <v>12</v>
      </c>
      <c r="I782" s="162"/>
      <c r="J782" s="162"/>
      <c r="K782" s="163"/>
      <c r="L782" s="90">
        <v>0</v>
      </c>
      <c r="M782" s="90">
        <v>0</v>
      </c>
      <c r="N782" s="90">
        <v>0</v>
      </c>
      <c r="O782" s="90">
        <f t="shared" si="314"/>
        <v>0</v>
      </c>
      <c r="P782" s="90">
        <f t="shared" si="315"/>
        <v>0</v>
      </c>
      <c r="Q782" s="596"/>
      <c r="R782" s="596"/>
      <c r="S782" s="596"/>
      <c r="T782" s="596"/>
      <c r="U782" s="596"/>
      <c r="V782" s="596"/>
      <c r="W782" s="596"/>
      <c r="X782" s="596"/>
      <c r="Y782" s="596"/>
      <c r="Z782" s="596"/>
    </row>
    <row r="783" spans="1:26" ht="19.5" hidden="1">
      <c r="A783" s="606"/>
      <c r="B783" s="608"/>
      <c r="C783" s="749" t="s">
        <v>16</v>
      </c>
      <c r="D783" s="843" t="s">
        <v>38</v>
      </c>
      <c r="E783" s="643"/>
      <c r="F783" s="643"/>
      <c r="G783" s="644"/>
      <c r="H783" s="791"/>
      <c r="I783" s="162"/>
      <c r="J783" s="162"/>
      <c r="K783" s="163"/>
      <c r="L783" s="163"/>
      <c r="M783" s="163"/>
      <c r="N783" s="163"/>
      <c r="O783" s="163"/>
      <c r="P783" s="163"/>
      <c r="Q783" s="596"/>
      <c r="R783" s="596"/>
      <c r="S783" s="596"/>
      <c r="T783" s="596"/>
      <c r="U783" s="596"/>
      <c r="V783" s="596"/>
      <c r="W783" s="596"/>
      <c r="X783" s="596"/>
      <c r="Y783" s="596"/>
      <c r="Z783" s="596"/>
    </row>
    <row r="784" spans="1:26" ht="18.75" hidden="1">
      <c r="A784" s="641"/>
      <c r="B784" s="599"/>
      <c r="C784" s="749"/>
      <c r="D784" s="749"/>
      <c r="E784" s="749" t="s">
        <v>318</v>
      </c>
      <c r="F784" s="749"/>
      <c r="G784" s="595"/>
      <c r="H784" s="161" t="s">
        <v>46</v>
      </c>
      <c r="I784" s="609"/>
      <c r="J784" s="609"/>
      <c r="K784" s="90"/>
      <c r="L784" s="90"/>
      <c r="M784" s="90"/>
      <c r="N784" s="90"/>
      <c r="O784" s="90"/>
      <c r="P784" s="90"/>
      <c r="Q784" s="596"/>
      <c r="R784" s="596"/>
      <c r="S784" s="596"/>
      <c r="T784" s="596"/>
      <c r="U784" s="596"/>
      <c r="V784" s="596"/>
      <c r="W784" s="596"/>
      <c r="X784" s="596"/>
      <c r="Y784" s="596"/>
      <c r="Z784" s="596"/>
    </row>
    <row r="785" spans="1:26" ht="19.5" hidden="1">
      <c r="A785" s="792">
        <v>12</v>
      </c>
      <c r="B785" s="793" t="s">
        <v>319</v>
      </c>
      <c r="C785" s="794"/>
      <c r="D785" s="794"/>
      <c r="E785" s="794"/>
      <c r="F785" s="794"/>
      <c r="G785" s="795"/>
      <c r="H785" s="796" t="s">
        <v>46</v>
      </c>
      <c r="I785" s="797">
        <f t="shared" ref="I785:J785" ca="1" si="316">I800</f>
        <v>0</v>
      </c>
      <c r="J785" s="798">
        <f t="shared" ca="1" si="316"/>
        <v>0</v>
      </c>
      <c r="K785" s="799">
        <f ca="1">IF(I785&gt;0,J785*100/I785,0)</f>
        <v>0</v>
      </c>
      <c r="L785" s="800"/>
      <c r="M785" s="800"/>
      <c r="N785" s="800"/>
      <c r="O785" s="800"/>
      <c r="P785" s="800"/>
      <c r="Q785" s="570"/>
      <c r="R785" s="570"/>
      <c r="S785" s="570"/>
      <c r="T785" s="570"/>
      <c r="U785" s="570"/>
      <c r="V785" s="570"/>
      <c r="W785" s="570"/>
      <c r="X785" s="570"/>
      <c r="Y785" s="570"/>
      <c r="Z785" s="570"/>
    </row>
    <row r="786" spans="1:26" ht="19.5" hidden="1">
      <c r="A786" s="589"/>
      <c r="B786" s="567"/>
      <c r="C786" s="753" t="s">
        <v>16</v>
      </c>
      <c r="D786" s="845" t="s">
        <v>17</v>
      </c>
      <c r="E786" s="846"/>
      <c r="F786" s="846"/>
      <c r="G786" s="185"/>
      <c r="H786" s="590" t="s">
        <v>12</v>
      </c>
      <c r="I786" s="264"/>
      <c r="J786" s="264"/>
      <c r="K786" s="495"/>
      <c r="L786" s="191">
        <f t="shared" ref="L786:N786" ca="1" si="317">L787+L788</f>
        <v>0</v>
      </c>
      <c r="M786" s="191">
        <f t="shared" si="317"/>
        <v>0</v>
      </c>
      <c r="N786" s="191">
        <f t="shared" si="317"/>
        <v>0</v>
      </c>
      <c r="O786" s="191">
        <f t="shared" ref="O786:O791" ca="1" si="318">IF(L786&gt;0,N786*100/L786,0)</f>
        <v>0</v>
      </c>
      <c r="P786" s="191">
        <f t="shared" ref="P786:P791" si="319">IF(M786&gt;0,N786*100/M786,0)</f>
        <v>0</v>
      </c>
      <c r="Q786" s="570"/>
      <c r="R786" s="570"/>
      <c r="S786" s="570"/>
      <c r="T786" s="570"/>
      <c r="U786" s="570"/>
      <c r="V786" s="570"/>
      <c r="W786" s="570"/>
      <c r="X786" s="570"/>
      <c r="Y786" s="570"/>
      <c r="Z786" s="570"/>
    </row>
    <row r="787" spans="1:26" ht="18.75" hidden="1">
      <c r="A787" s="591"/>
      <c r="B787" s="599"/>
      <c r="C787" s="749"/>
      <c r="D787" s="710"/>
      <c r="E787" s="749" t="s">
        <v>184</v>
      </c>
      <c r="F787" s="749"/>
      <c r="G787" s="595"/>
      <c r="H787" s="161" t="s">
        <v>12</v>
      </c>
      <c r="I787" s="609"/>
      <c r="J787" s="609"/>
      <c r="K787" s="90"/>
      <c r="L787" s="90">
        <f t="shared" ref="L787:N788" si="320">L790+L797</f>
        <v>0</v>
      </c>
      <c r="M787" s="90">
        <f t="shared" si="320"/>
        <v>0</v>
      </c>
      <c r="N787" s="90">
        <f t="shared" si="320"/>
        <v>0</v>
      </c>
      <c r="O787" s="90">
        <f t="shared" si="318"/>
        <v>0</v>
      </c>
      <c r="P787" s="90">
        <f t="shared" si="319"/>
        <v>0</v>
      </c>
      <c r="Q787" s="596"/>
      <c r="R787" s="596"/>
      <c r="S787" s="596"/>
      <c r="T787" s="596"/>
      <c r="U787" s="596"/>
      <c r="V787" s="596"/>
      <c r="W787" s="596"/>
      <c r="X787" s="596"/>
      <c r="Y787" s="596"/>
      <c r="Z787" s="596"/>
    </row>
    <row r="788" spans="1:26" ht="18.75" hidden="1">
      <c r="A788" s="591"/>
      <c r="B788" s="599"/>
      <c r="C788" s="599"/>
      <c r="D788" s="608"/>
      <c r="E788" s="749" t="s">
        <v>185</v>
      </c>
      <c r="F788" s="749"/>
      <c r="G788" s="595"/>
      <c r="H788" s="161" t="s">
        <v>12</v>
      </c>
      <c r="I788" s="609"/>
      <c r="J788" s="609"/>
      <c r="K788" s="90"/>
      <c r="L788" s="90">
        <f t="shared" ca="1" si="320"/>
        <v>0</v>
      </c>
      <c r="M788" s="90">
        <f t="shared" si="320"/>
        <v>0</v>
      </c>
      <c r="N788" s="90">
        <f t="shared" si="320"/>
        <v>0</v>
      </c>
      <c r="O788" s="90">
        <f t="shared" ca="1" si="318"/>
        <v>0</v>
      </c>
      <c r="P788" s="90">
        <f t="shared" si="319"/>
        <v>0</v>
      </c>
      <c r="Q788" s="596"/>
      <c r="R788" s="596"/>
      <c r="S788" s="596"/>
      <c r="T788" s="596"/>
      <c r="U788" s="596"/>
      <c r="V788" s="596"/>
      <c r="W788" s="596"/>
      <c r="X788" s="596"/>
      <c r="Y788" s="596"/>
      <c r="Z788" s="596"/>
    </row>
    <row r="789" spans="1:26" ht="18.75" hidden="1">
      <c r="A789" s="589"/>
      <c r="B789" s="567"/>
      <c r="C789" s="567"/>
      <c r="D789" s="598" t="s">
        <v>20</v>
      </c>
      <c r="E789" s="753"/>
      <c r="F789" s="753"/>
      <c r="G789" s="185"/>
      <c r="H789" s="157" t="s">
        <v>12</v>
      </c>
      <c r="I789" s="180"/>
      <c r="J789" s="180"/>
      <c r="K789" s="159"/>
      <c r="L789" s="495">
        <f t="shared" ref="L789:N789" ca="1" si="321">L790+L791</f>
        <v>0</v>
      </c>
      <c r="M789" s="495">
        <f t="shared" si="321"/>
        <v>0</v>
      </c>
      <c r="N789" s="495">
        <f t="shared" si="321"/>
        <v>0</v>
      </c>
      <c r="O789" s="495">
        <f t="shared" ca="1" si="318"/>
        <v>0</v>
      </c>
      <c r="P789" s="495">
        <f t="shared" si="319"/>
        <v>0</v>
      </c>
      <c r="Q789" s="570"/>
      <c r="R789" s="570"/>
      <c r="S789" s="570"/>
      <c r="T789" s="570"/>
      <c r="U789" s="570"/>
      <c r="V789" s="570"/>
      <c r="W789" s="570"/>
      <c r="X789" s="570"/>
      <c r="Y789" s="570"/>
      <c r="Z789" s="570"/>
    </row>
    <row r="790" spans="1:26" ht="18.75" hidden="1">
      <c r="A790" s="591"/>
      <c r="B790" s="599"/>
      <c r="C790" s="599"/>
      <c r="D790" s="608"/>
      <c r="E790" s="749" t="s">
        <v>184</v>
      </c>
      <c r="F790" s="749"/>
      <c r="G790" s="595"/>
      <c r="H790" s="161" t="s">
        <v>12</v>
      </c>
      <c r="I790" s="609"/>
      <c r="J790" s="609"/>
      <c r="K790" s="90"/>
      <c r="L790" s="90">
        <v>0</v>
      </c>
      <c r="M790" s="90">
        <v>0</v>
      </c>
      <c r="N790" s="90">
        <v>0</v>
      </c>
      <c r="O790" s="90">
        <f t="shared" si="318"/>
        <v>0</v>
      </c>
      <c r="P790" s="90">
        <f t="shared" si="319"/>
        <v>0</v>
      </c>
      <c r="Q790" s="596"/>
      <c r="R790" s="596"/>
      <c r="S790" s="596"/>
      <c r="T790" s="596"/>
      <c r="U790" s="596"/>
      <c r="V790" s="596"/>
      <c r="W790" s="596"/>
      <c r="X790" s="596"/>
      <c r="Y790" s="596"/>
      <c r="Z790" s="596"/>
    </row>
    <row r="791" spans="1:26" ht="18.75" hidden="1">
      <c r="A791" s="591"/>
      <c r="B791" s="599"/>
      <c r="C791" s="599"/>
      <c r="D791" s="608"/>
      <c r="E791" s="749" t="s">
        <v>185</v>
      </c>
      <c r="F791" s="749"/>
      <c r="G791" s="595"/>
      <c r="H791" s="161" t="s">
        <v>12</v>
      </c>
      <c r="I791" s="609"/>
      <c r="J791" s="609"/>
      <c r="K791" s="90"/>
      <c r="L791" s="90">
        <f ca="1">IFERROR(__xludf.DUMMYFUNCTION("IMPORTRANGE(""https://docs.google.com/spreadsheets/d/1QqKyyYR6Q21VydFLVH3TRQUabQu_ym0Zz7PgGX0-kHA/edit?usp=sharing"",""แผน!JJ73"")"),0)</f>
        <v>0</v>
      </c>
      <c r="M791" s="90">
        <v>0</v>
      </c>
      <c r="N791" s="90">
        <f>N792+N793+N794+N795</f>
        <v>0</v>
      </c>
      <c r="O791" s="90">
        <f t="shared" ca="1" si="318"/>
        <v>0</v>
      </c>
      <c r="P791" s="90">
        <f t="shared" si="319"/>
        <v>0</v>
      </c>
      <c r="Q791" s="596"/>
      <c r="R791" s="596"/>
      <c r="S791" s="596"/>
      <c r="T791" s="596"/>
      <c r="U791" s="596"/>
      <c r="V791" s="596"/>
      <c r="W791" s="596"/>
      <c r="X791" s="596"/>
      <c r="Y791" s="596"/>
      <c r="Z791" s="596"/>
    </row>
    <row r="792" spans="1:26" ht="18.75" hidden="1">
      <c r="A792" s="566"/>
      <c r="B792" s="567"/>
      <c r="C792" s="753"/>
      <c r="D792" s="753"/>
      <c r="E792" s="753"/>
      <c r="F792" s="753" t="s">
        <v>186</v>
      </c>
      <c r="G792" s="185"/>
      <c r="H792" s="157" t="s">
        <v>12</v>
      </c>
      <c r="I792" s="264"/>
      <c r="J792" s="264"/>
      <c r="K792" s="495"/>
      <c r="L792" s="495"/>
      <c r="M792" s="495"/>
      <c r="N792" s="816">
        <v>0</v>
      </c>
      <c r="O792" s="495"/>
      <c r="P792" s="495"/>
      <c r="Q792" s="570"/>
      <c r="R792" s="570"/>
      <c r="S792" s="570"/>
      <c r="T792" s="570"/>
      <c r="U792" s="570"/>
      <c r="V792" s="570"/>
      <c r="W792" s="570"/>
      <c r="X792" s="570"/>
      <c r="Y792" s="570"/>
      <c r="Z792" s="570"/>
    </row>
    <row r="793" spans="1:26" ht="18.75" hidden="1">
      <c r="A793" s="566"/>
      <c r="B793" s="567"/>
      <c r="C793" s="753"/>
      <c r="D793" s="753"/>
      <c r="E793" s="753"/>
      <c r="F793" s="753" t="s">
        <v>187</v>
      </c>
      <c r="G793" s="185"/>
      <c r="H793" s="157" t="s">
        <v>12</v>
      </c>
      <c r="I793" s="264"/>
      <c r="J793" s="264"/>
      <c r="K793" s="495"/>
      <c r="L793" s="495"/>
      <c r="M793" s="495"/>
      <c r="N793" s="816">
        <v>0</v>
      </c>
      <c r="O793" s="495"/>
      <c r="P793" s="495"/>
      <c r="Q793" s="570"/>
      <c r="R793" s="570"/>
      <c r="S793" s="570"/>
      <c r="T793" s="570"/>
      <c r="U793" s="570"/>
      <c r="V793" s="570"/>
      <c r="W793" s="570"/>
      <c r="X793" s="570"/>
      <c r="Y793" s="570"/>
      <c r="Z793" s="570"/>
    </row>
    <row r="794" spans="1:26" ht="18.75" hidden="1">
      <c r="A794" s="566"/>
      <c r="B794" s="567"/>
      <c r="C794" s="753"/>
      <c r="D794" s="753"/>
      <c r="E794" s="753"/>
      <c r="F794" s="753" t="s">
        <v>188</v>
      </c>
      <c r="G794" s="185"/>
      <c r="H794" s="157" t="s">
        <v>12</v>
      </c>
      <c r="I794" s="264"/>
      <c r="J794" s="264"/>
      <c r="K794" s="495"/>
      <c r="L794" s="495"/>
      <c r="M794" s="495"/>
      <c r="N794" s="816">
        <v>0</v>
      </c>
      <c r="O794" s="495"/>
      <c r="P794" s="495"/>
      <c r="Q794" s="570"/>
      <c r="R794" s="570"/>
      <c r="S794" s="570"/>
      <c r="T794" s="570"/>
      <c r="U794" s="570"/>
      <c r="V794" s="570"/>
      <c r="W794" s="570"/>
      <c r="X794" s="570"/>
      <c r="Y794" s="570"/>
      <c r="Z794" s="570"/>
    </row>
    <row r="795" spans="1:26" ht="18.75" hidden="1">
      <c r="A795" s="566"/>
      <c r="B795" s="567"/>
      <c r="C795" s="753"/>
      <c r="D795" s="753"/>
      <c r="E795" s="753"/>
      <c r="F795" s="753" t="s">
        <v>189</v>
      </c>
      <c r="G795" s="185"/>
      <c r="H795" s="157" t="s">
        <v>12</v>
      </c>
      <c r="I795" s="264"/>
      <c r="J795" s="264"/>
      <c r="K795" s="495"/>
      <c r="L795" s="495"/>
      <c r="M795" s="495"/>
      <c r="N795" s="816">
        <v>0</v>
      </c>
      <c r="O795" s="495"/>
      <c r="P795" s="495"/>
      <c r="Q795" s="570"/>
      <c r="R795" s="570"/>
      <c r="S795" s="570"/>
      <c r="T795" s="570"/>
      <c r="U795" s="570"/>
      <c r="V795" s="570"/>
      <c r="W795" s="570"/>
      <c r="X795" s="570"/>
      <c r="Y795" s="570"/>
      <c r="Z795" s="570"/>
    </row>
    <row r="796" spans="1:26" ht="18.75" hidden="1">
      <c r="A796" s="589"/>
      <c r="B796" s="567"/>
      <c r="C796" s="753"/>
      <c r="D796" s="598" t="s">
        <v>21</v>
      </c>
      <c r="E796" s="753"/>
      <c r="F796" s="753"/>
      <c r="G796" s="185"/>
      <c r="H796" s="164" t="s">
        <v>12</v>
      </c>
      <c r="I796" s="180"/>
      <c r="J796" s="180"/>
      <c r="K796" s="159"/>
      <c r="L796" s="495">
        <f t="shared" ref="L796:N796" si="322">L797+L798</f>
        <v>0</v>
      </c>
      <c r="M796" s="495">
        <f t="shared" si="322"/>
        <v>0</v>
      </c>
      <c r="N796" s="495">
        <f t="shared" si="322"/>
        <v>0</v>
      </c>
      <c r="O796" s="495">
        <f t="shared" ref="O796:O798" si="323">IF(L796&gt;0,N796*100/L796,0)</f>
        <v>0</v>
      </c>
      <c r="P796" s="495">
        <f t="shared" ref="P796:P798" si="324">IF(M796&gt;0,N796*100/M796,0)</f>
        <v>0</v>
      </c>
      <c r="Q796" s="570"/>
      <c r="R796" s="570"/>
      <c r="S796" s="570"/>
      <c r="T796" s="570"/>
      <c r="U796" s="570"/>
      <c r="V796" s="570"/>
      <c r="W796" s="570"/>
      <c r="X796" s="570"/>
      <c r="Y796" s="570"/>
      <c r="Z796" s="570"/>
    </row>
    <row r="797" spans="1:26" ht="18.75" hidden="1">
      <c r="A797" s="591"/>
      <c r="B797" s="599"/>
      <c r="C797" s="749"/>
      <c r="D797" s="749"/>
      <c r="E797" s="749" t="s">
        <v>18</v>
      </c>
      <c r="F797" s="749"/>
      <c r="G797" s="595"/>
      <c r="H797" s="161" t="s">
        <v>12</v>
      </c>
      <c r="I797" s="162"/>
      <c r="J797" s="162"/>
      <c r="K797" s="163"/>
      <c r="L797" s="90">
        <v>0</v>
      </c>
      <c r="M797" s="90">
        <v>0</v>
      </c>
      <c r="N797" s="90">
        <v>0</v>
      </c>
      <c r="O797" s="90">
        <f t="shared" si="323"/>
        <v>0</v>
      </c>
      <c r="P797" s="90">
        <f t="shared" si="324"/>
        <v>0</v>
      </c>
      <c r="Q797" s="596"/>
      <c r="R797" s="596"/>
      <c r="S797" s="596"/>
      <c r="T797" s="596"/>
      <c r="U797" s="596"/>
      <c r="V797" s="596"/>
      <c r="W797" s="596"/>
      <c r="X797" s="596"/>
      <c r="Y797" s="596"/>
      <c r="Z797" s="596"/>
    </row>
    <row r="798" spans="1:26" ht="18.75" hidden="1">
      <c r="A798" s="591"/>
      <c r="B798" s="599"/>
      <c r="C798" s="749"/>
      <c r="D798" s="749"/>
      <c r="E798" s="749" t="s">
        <v>19</v>
      </c>
      <c r="F798" s="749"/>
      <c r="G798" s="595"/>
      <c r="H798" s="165" t="s">
        <v>12</v>
      </c>
      <c r="I798" s="162"/>
      <c r="J798" s="162"/>
      <c r="K798" s="163"/>
      <c r="L798" s="90">
        <v>0</v>
      </c>
      <c r="M798" s="90">
        <v>0</v>
      </c>
      <c r="N798" s="90">
        <v>0</v>
      </c>
      <c r="O798" s="90">
        <f t="shared" si="323"/>
        <v>0</v>
      </c>
      <c r="P798" s="90">
        <f t="shared" si="324"/>
        <v>0</v>
      </c>
      <c r="Q798" s="596"/>
      <c r="R798" s="596"/>
      <c r="S798" s="596"/>
      <c r="T798" s="596"/>
      <c r="U798" s="596"/>
      <c r="V798" s="596"/>
      <c r="W798" s="596"/>
      <c r="X798" s="596"/>
      <c r="Y798" s="596"/>
      <c r="Z798" s="596"/>
    </row>
    <row r="799" spans="1:26" ht="19.5" hidden="1">
      <c r="A799" s="600"/>
      <c r="B799" s="610"/>
      <c r="C799" s="753" t="s">
        <v>16</v>
      </c>
      <c r="D799" s="842" t="s">
        <v>38</v>
      </c>
      <c r="E799" s="751"/>
      <c r="F799" s="751"/>
      <c r="G799" s="605"/>
      <c r="H799" s="801"/>
      <c r="I799" s="180"/>
      <c r="J799" s="180"/>
      <c r="K799" s="159"/>
      <c r="L799" s="159"/>
      <c r="M799" s="159"/>
      <c r="N799" s="159"/>
      <c r="O799" s="159"/>
      <c r="P799" s="159"/>
      <c r="Q799" s="570"/>
      <c r="R799" s="570"/>
      <c r="S799" s="570"/>
      <c r="T799" s="570"/>
      <c r="U799" s="570"/>
      <c r="V799" s="570"/>
      <c r="W799" s="570"/>
      <c r="X799" s="570"/>
      <c r="Y799" s="570"/>
      <c r="Z799" s="570"/>
    </row>
    <row r="800" spans="1:26" ht="18.75" hidden="1">
      <c r="A800" s="600"/>
      <c r="B800" s="610"/>
      <c r="C800" s="610"/>
      <c r="D800" s="610"/>
      <c r="E800" s="618"/>
      <c r="F800" s="618" t="s">
        <v>320</v>
      </c>
      <c r="G800" s="752"/>
      <c r="H800" s="181" t="s">
        <v>46</v>
      </c>
      <c r="I800" s="180">
        <f ca="1">IFERROR(__xludf.DUMMYFUNCTION("IMPORTRANGE(""https://docs.google.com/spreadsheets/d/1QqKyyYR6Q21VydFLVH3TRQUabQu_ym0Zz7PgGX0-kHA/edit?usp=sharing"",""แผน!JN73"")"),0)</f>
        <v>0</v>
      </c>
      <c r="J800" s="180">
        <f ca="1">IFERROR(__xludf.DUMMYFUNCTION("IMPORTRANGE(""https://docs.google.com/spreadsheets/d/1MaWodYyGHDf7siQLGxnXhG4mBNTNIuy296niS2xXulU/edit?usp=sharing"",""RTK!H73"")"),0)</f>
        <v>0</v>
      </c>
      <c r="K800" s="495">
        <f ca="1">IF(I800&gt;0,J800*100/I800,0)</f>
        <v>0</v>
      </c>
      <c r="L800" s="495"/>
      <c r="M800" s="495"/>
      <c r="N800" s="495"/>
      <c r="O800" s="159"/>
      <c r="P800" s="159"/>
      <c r="Q800" s="570"/>
      <c r="R800" s="570"/>
      <c r="S800" s="570"/>
      <c r="T800" s="570"/>
      <c r="U800" s="570"/>
      <c r="V800" s="570"/>
      <c r="W800" s="570"/>
      <c r="X800" s="570"/>
      <c r="Y800" s="570"/>
      <c r="Z800" s="570"/>
    </row>
    <row r="801" spans="1:26" ht="18.75" hidden="1">
      <c r="A801" s="600"/>
      <c r="B801" s="610"/>
      <c r="C801" s="610"/>
      <c r="D801" s="610"/>
      <c r="E801" s="618"/>
      <c r="F801" s="618"/>
      <c r="G801" s="752"/>
      <c r="H801" s="157" t="s">
        <v>34</v>
      </c>
      <c r="I801" s="180"/>
      <c r="J801" s="264">
        <f ca="1">IFERROR(__xludf.DUMMYFUNCTION("IMPORTRANGE(""https://docs.google.com/spreadsheets/d/1MaWodYyGHDf7siQLGxnXhG4mBNTNIuy296niS2xXulU/edit?usp=sharing"",""RTK!I73"")"),0)</f>
        <v>0</v>
      </c>
      <c r="K801" s="495"/>
      <c r="L801" s="495"/>
      <c r="M801" s="495"/>
      <c r="N801" s="495"/>
      <c r="O801" s="159"/>
      <c r="P801" s="159"/>
      <c r="Q801" s="570"/>
      <c r="R801" s="570"/>
      <c r="S801" s="570"/>
      <c r="T801" s="570"/>
      <c r="U801" s="570"/>
      <c r="V801" s="570"/>
      <c r="W801" s="570"/>
      <c r="X801" s="570"/>
      <c r="Y801" s="570"/>
      <c r="Z801" s="570"/>
    </row>
    <row r="802" spans="1:26" ht="18.75" hidden="1">
      <c r="A802" s="606"/>
      <c r="B802" s="608"/>
      <c r="C802" s="608"/>
      <c r="D802" s="608"/>
      <c r="E802" s="710"/>
      <c r="F802" s="710" t="s">
        <v>321</v>
      </c>
      <c r="G802" s="361"/>
      <c r="H802" s="645" t="s">
        <v>46</v>
      </c>
      <c r="I802" s="162"/>
      <c r="J802" s="609"/>
      <c r="K802" s="163">
        <f>IF(I802&gt;0,J802*100/I802,0)</f>
        <v>0</v>
      </c>
      <c r="L802" s="163"/>
      <c r="M802" s="163"/>
      <c r="N802" s="163"/>
      <c r="O802" s="163"/>
      <c r="P802" s="163"/>
      <c r="Q802" s="596"/>
      <c r="R802" s="596"/>
      <c r="S802" s="596"/>
      <c r="T802" s="596"/>
      <c r="U802" s="596"/>
      <c r="V802" s="596"/>
      <c r="W802" s="596"/>
      <c r="X802" s="596"/>
      <c r="Y802" s="596"/>
      <c r="Z802" s="596"/>
    </row>
    <row r="803" spans="1:26" ht="18.75" hidden="1">
      <c r="A803" s="606"/>
      <c r="B803" s="608"/>
      <c r="C803" s="608"/>
      <c r="D803" s="608"/>
      <c r="E803" s="710"/>
      <c r="F803" s="710"/>
      <c r="G803" s="361"/>
      <c r="H803" s="645" t="s">
        <v>34</v>
      </c>
      <c r="I803" s="162"/>
      <c r="J803" s="609"/>
      <c r="K803" s="163"/>
      <c r="L803" s="163"/>
      <c r="M803" s="163"/>
      <c r="N803" s="163"/>
      <c r="O803" s="163"/>
      <c r="P803" s="163"/>
      <c r="Q803" s="596"/>
      <c r="R803" s="596"/>
      <c r="S803" s="596"/>
      <c r="T803" s="596"/>
      <c r="U803" s="596"/>
      <c r="V803" s="596"/>
      <c r="W803" s="596"/>
      <c r="X803" s="596"/>
      <c r="Y803" s="596"/>
      <c r="Z803" s="596"/>
    </row>
    <row r="804" spans="1:26" ht="19.5" hidden="1">
      <c r="A804" s="783">
        <v>13</v>
      </c>
      <c r="B804" s="784" t="s">
        <v>322</v>
      </c>
      <c r="C804" s="785"/>
      <c r="D804" s="802"/>
      <c r="E804" s="785"/>
      <c r="F804" s="785"/>
      <c r="G804" s="786"/>
      <c r="H804" s="787" t="s">
        <v>46</v>
      </c>
      <c r="I804" s="788"/>
      <c r="J804" s="788">
        <f>J819</f>
        <v>0</v>
      </c>
      <c r="K804" s="789">
        <f>IF(I804&gt;0,J804*100/I804,0)</f>
        <v>0</v>
      </c>
      <c r="L804" s="790"/>
      <c r="M804" s="790"/>
      <c r="N804" s="790"/>
      <c r="O804" s="790"/>
      <c r="P804" s="790"/>
      <c r="Q804" s="596"/>
      <c r="R804" s="596"/>
      <c r="S804" s="596"/>
      <c r="T804" s="596"/>
      <c r="U804" s="596"/>
      <c r="V804" s="596"/>
      <c r="W804" s="596"/>
      <c r="X804" s="596"/>
      <c r="Y804" s="596"/>
      <c r="Z804" s="596"/>
    </row>
    <row r="805" spans="1:26" ht="19.5" hidden="1">
      <c r="A805" s="591"/>
      <c r="B805" s="749"/>
      <c r="C805" s="749" t="s">
        <v>16</v>
      </c>
      <c r="D805" s="850" t="s">
        <v>17</v>
      </c>
      <c r="E805" s="846"/>
      <c r="F805" s="846"/>
      <c r="G805" s="595"/>
      <c r="H805" s="638" t="s">
        <v>12</v>
      </c>
      <c r="I805" s="609"/>
      <c r="J805" s="609"/>
      <c r="K805" s="90"/>
      <c r="L805" s="639">
        <f t="shared" ref="L805:N805" si="325">L806+L807</f>
        <v>0</v>
      </c>
      <c r="M805" s="639">
        <f t="shared" si="325"/>
        <v>0</v>
      </c>
      <c r="N805" s="639">
        <f t="shared" si="325"/>
        <v>0</v>
      </c>
      <c r="O805" s="639">
        <f t="shared" ref="O805:O810" si="326">IF(L805&gt;0,N805*100/L805,0)</f>
        <v>0</v>
      </c>
      <c r="P805" s="639">
        <f t="shared" ref="P805:P810" si="327">IF(M805&gt;0,N805*100/M805,0)</f>
        <v>0</v>
      </c>
      <c r="Q805" s="596"/>
      <c r="R805" s="596"/>
      <c r="S805" s="596"/>
      <c r="T805" s="596"/>
      <c r="U805" s="596"/>
      <c r="V805" s="596"/>
      <c r="W805" s="596"/>
      <c r="X805" s="596"/>
      <c r="Y805" s="596"/>
      <c r="Z805" s="596"/>
    </row>
    <row r="806" spans="1:26" ht="18.75" hidden="1">
      <c r="A806" s="591"/>
      <c r="B806" s="749"/>
      <c r="C806" s="749"/>
      <c r="D806" s="608"/>
      <c r="E806" s="749" t="s">
        <v>184</v>
      </c>
      <c r="F806" s="749"/>
      <c r="G806" s="595"/>
      <c r="H806" s="161" t="s">
        <v>12</v>
      </c>
      <c r="I806" s="609"/>
      <c r="J806" s="609"/>
      <c r="K806" s="90"/>
      <c r="L806" s="90">
        <f t="shared" ref="L806:N807" si="328">L809+L816</f>
        <v>0</v>
      </c>
      <c r="M806" s="90">
        <f t="shared" si="328"/>
        <v>0</v>
      </c>
      <c r="N806" s="90">
        <f t="shared" si="328"/>
        <v>0</v>
      </c>
      <c r="O806" s="90">
        <f t="shared" si="326"/>
        <v>0</v>
      </c>
      <c r="P806" s="90">
        <f t="shared" si="327"/>
        <v>0</v>
      </c>
      <c r="Q806" s="596"/>
      <c r="R806" s="596"/>
      <c r="S806" s="596"/>
      <c r="T806" s="596"/>
      <c r="U806" s="596"/>
      <c r="V806" s="596"/>
      <c r="W806" s="596"/>
      <c r="X806" s="596"/>
      <c r="Y806" s="596"/>
      <c r="Z806" s="596"/>
    </row>
    <row r="807" spans="1:26" ht="18.75" hidden="1">
      <c r="A807" s="591"/>
      <c r="B807" s="749"/>
      <c r="C807" s="749"/>
      <c r="D807" s="608"/>
      <c r="E807" s="749" t="s">
        <v>185</v>
      </c>
      <c r="F807" s="749"/>
      <c r="G807" s="595"/>
      <c r="H807" s="161" t="s">
        <v>12</v>
      </c>
      <c r="I807" s="609"/>
      <c r="J807" s="609"/>
      <c r="K807" s="90"/>
      <c r="L807" s="90">
        <f t="shared" si="328"/>
        <v>0</v>
      </c>
      <c r="M807" s="90">
        <f t="shared" si="328"/>
        <v>0</v>
      </c>
      <c r="N807" s="90">
        <f t="shared" si="328"/>
        <v>0</v>
      </c>
      <c r="O807" s="90">
        <f t="shared" si="326"/>
        <v>0</v>
      </c>
      <c r="P807" s="90">
        <f t="shared" si="327"/>
        <v>0</v>
      </c>
      <c r="Q807" s="596"/>
      <c r="R807" s="596"/>
      <c r="S807" s="596"/>
      <c r="T807" s="596"/>
      <c r="U807" s="596"/>
      <c r="V807" s="596"/>
      <c r="W807" s="596"/>
      <c r="X807" s="596"/>
      <c r="Y807" s="596"/>
      <c r="Z807" s="596"/>
    </row>
    <row r="808" spans="1:26" ht="19.5" hidden="1">
      <c r="A808" s="591"/>
      <c r="B808" s="599"/>
      <c r="C808" s="749"/>
      <c r="D808" s="868" t="s">
        <v>20</v>
      </c>
      <c r="E808" s="846"/>
      <c r="F808" s="846"/>
      <c r="G808" s="595"/>
      <c r="H808" s="638" t="s">
        <v>12</v>
      </c>
      <c r="I808" s="162"/>
      <c r="J808" s="162"/>
      <c r="K808" s="163"/>
      <c r="L808" s="639">
        <f t="shared" ref="L808:N808" si="329">L809+L810</f>
        <v>0</v>
      </c>
      <c r="M808" s="639">
        <f t="shared" si="329"/>
        <v>0</v>
      </c>
      <c r="N808" s="639">
        <f t="shared" si="329"/>
        <v>0</v>
      </c>
      <c r="O808" s="639">
        <f t="shared" si="326"/>
        <v>0</v>
      </c>
      <c r="P808" s="639">
        <f t="shared" si="327"/>
        <v>0</v>
      </c>
      <c r="Q808" s="596"/>
      <c r="R808" s="596"/>
      <c r="S808" s="596"/>
      <c r="T808" s="596"/>
      <c r="U808" s="596"/>
      <c r="V808" s="596"/>
      <c r="W808" s="596"/>
      <c r="X808" s="596"/>
      <c r="Y808" s="596"/>
      <c r="Z808" s="596"/>
    </row>
    <row r="809" spans="1:26" ht="18.75" hidden="1">
      <c r="A809" s="591"/>
      <c r="B809" s="749"/>
      <c r="C809" s="749"/>
      <c r="D809" s="608"/>
      <c r="E809" s="749" t="s">
        <v>184</v>
      </c>
      <c r="F809" s="749"/>
      <c r="G809" s="595"/>
      <c r="H809" s="161" t="s">
        <v>12</v>
      </c>
      <c r="I809" s="609"/>
      <c r="J809" s="609"/>
      <c r="K809" s="90"/>
      <c r="L809" s="90">
        <v>0</v>
      </c>
      <c r="M809" s="90">
        <v>0</v>
      </c>
      <c r="N809" s="90">
        <v>0</v>
      </c>
      <c r="O809" s="90">
        <f t="shared" si="326"/>
        <v>0</v>
      </c>
      <c r="P809" s="90">
        <f t="shared" si="327"/>
        <v>0</v>
      </c>
      <c r="Q809" s="596"/>
      <c r="R809" s="596"/>
      <c r="S809" s="596"/>
      <c r="T809" s="596"/>
      <c r="U809" s="596"/>
      <c r="V809" s="596"/>
      <c r="W809" s="596"/>
      <c r="X809" s="596"/>
      <c r="Y809" s="596"/>
      <c r="Z809" s="596"/>
    </row>
    <row r="810" spans="1:26" ht="18.75" hidden="1">
      <c r="A810" s="591"/>
      <c r="B810" s="749"/>
      <c r="C810" s="749"/>
      <c r="D810" s="608"/>
      <c r="E810" s="749" t="s">
        <v>185</v>
      </c>
      <c r="F810" s="749"/>
      <c r="G810" s="595"/>
      <c r="H810" s="161" t="s">
        <v>12</v>
      </c>
      <c r="I810" s="609"/>
      <c r="J810" s="609"/>
      <c r="K810" s="90"/>
      <c r="L810" s="90">
        <v>0</v>
      </c>
      <c r="M810" s="90">
        <v>0</v>
      </c>
      <c r="N810" s="90">
        <f>N811+N812+N813+N814</f>
        <v>0</v>
      </c>
      <c r="O810" s="90">
        <f t="shared" si="326"/>
        <v>0</v>
      </c>
      <c r="P810" s="90">
        <f t="shared" si="327"/>
        <v>0</v>
      </c>
      <c r="Q810" s="596"/>
      <c r="R810" s="596"/>
      <c r="S810" s="596"/>
      <c r="T810" s="596"/>
      <c r="U810" s="596"/>
      <c r="V810" s="596"/>
      <c r="W810" s="596"/>
      <c r="X810" s="596"/>
      <c r="Y810" s="596"/>
      <c r="Z810" s="596"/>
    </row>
    <row r="811" spans="1:26" ht="18.75" hidden="1">
      <c r="A811" s="641"/>
      <c r="B811" s="599"/>
      <c r="C811" s="749"/>
      <c r="D811" s="599"/>
      <c r="E811" s="749"/>
      <c r="F811" s="749" t="s">
        <v>186</v>
      </c>
      <c r="G811" s="595"/>
      <c r="H811" s="161" t="s">
        <v>12</v>
      </c>
      <c r="I811" s="609"/>
      <c r="J811" s="609"/>
      <c r="K811" s="90"/>
      <c r="L811" s="90"/>
      <c r="M811" s="90"/>
      <c r="N811" s="90"/>
      <c r="O811" s="90"/>
      <c r="P811" s="90"/>
      <c r="Q811" s="596"/>
      <c r="R811" s="596"/>
      <c r="S811" s="596"/>
      <c r="T811" s="596"/>
      <c r="U811" s="596"/>
      <c r="V811" s="596"/>
      <c r="W811" s="596"/>
      <c r="X811" s="596"/>
      <c r="Y811" s="596"/>
      <c r="Z811" s="596"/>
    </row>
    <row r="812" spans="1:26" ht="18.75" hidden="1">
      <c r="A812" s="641"/>
      <c r="B812" s="599"/>
      <c r="C812" s="749"/>
      <c r="D812" s="599"/>
      <c r="E812" s="749"/>
      <c r="F812" s="749" t="s">
        <v>187</v>
      </c>
      <c r="G812" s="595"/>
      <c r="H812" s="161" t="s">
        <v>12</v>
      </c>
      <c r="I812" s="609"/>
      <c r="J812" s="609"/>
      <c r="K812" s="90"/>
      <c r="L812" s="90"/>
      <c r="M812" s="90"/>
      <c r="N812" s="90"/>
      <c r="O812" s="90"/>
      <c r="P812" s="90"/>
      <c r="Q812" s="596"/>
      <c r="R812" s="596"/>
      <c r="S812" s="596"/>
      <c r="T812" s="596"/>
      <c r="U812" s="596"/>
      <c r="V812" s="596"/>
      <c r="W812" s="596"/>
      <c r="X812" s="596"/>
      <c r="Y812" s="596"/>
      <c r="Z812" s="596"/>
    </row>
    <row r="813" spans="1:26" ht="18.75" hidden="1">
      <c r="A813" s="641"/>
      <c r="B813" s="599"/>
      <c r="C813" s="749"/>
      <c r="D813" s="599"/>
      <c r="E813" s="749"/>
      <c r="F813" s="749" t="s">
        <v>188</v>
      </c>
      <c r="G813" s="595"/>
      <c r="H813" s="161" t="s">
        <v>12</v>
      </c>
      <c r="I813" s="609"/>
      <c r="J813" s="609"/>
      <c r="K813" s="90"/>
      <c r="L813" s="90"/>
      <c r="M813" s="90"/>
      <c r="N813" s="90"/>
      <c r="O813" s="90"/>
      <c r="P813" s="90"/>
      <c r="Q813" s="596"/>
      <c r="R813" s="596"/>
      <c r="S813" s="596"/>
      <c r="T813" s="596"/>
      <c r="U813" s="596"/>
      <c r="V813" s="596"/>
      <c r="W813" s="596"/>
      <c r="X813" s="596"/>
      <c r="Y813" s="596"/>
      <c r="Z813" s="596"/>
    </row>
    <row r="814" spans="1:26" ht="18.75" hidden="1">
      <c r="A814" s="641"/>
      <c r="B814" s="599"/>
      <c r="C814" s="749"/>
      <c r="D814" s="599"/>
      <c r="E814" s="749"/>
      <c r="F814" s="749" t="s">
        <v>189</v>
      </c>
      <c r="G814" s="595"/>
      <c r="H814" s="161" t="s">
        <v>12</v>
      </c>
      <c r="I814" s="609"/>
      <c r="J814" s="609"/>
      <c r="K814" s="90"/>
      <c r="L814" s="90"/>
      <c r="M814" s="90"/>
      <c r="N814" s="90"/>
      <c r="O814" s="90"/>
      <c r="P814" s="90"/>
      <c r="Q814" s="596"/>
      <c r="R814" s="596"/>
      <c r="S814" s="596"/>
      <c r="T814" s="596"/>
      <c r="U814" s="596"/>
      <c r="V814" s="596"/>
      <c r="W814" s="596"/>
      <c r="X814" s="596"/>
      <c r="Y814" s="596"/>
      <c r="Z814" s="596"/>
    </row>
    <row r="815" spans="1:26" ht="19.5" hidden="1">
      <c r="A815" s="591"/>
      <c r="B815" s="599"/>
      <c r="C815" s="749"/>
      <c r="D815" s="868" t="s">
        <v>21</v>
      </c>
      <c r="E815" s="846"/>
      <c r="F815" s="846"/>
      <c r="G815" s="595"/>
      <c r="H815" s="773" t="s">
        <v>12</v>
      </c>
      <c r="I815" s="162"/>
      <c r="J815" s="162"/>
      <c r="K815" s="163"/>
      <c r="L815" s="639">
        <f t="shared" ref="L815:N815" si="330">L816+L817</f>
        <v>0</v>
      </c>
      <c r="M815" s="639">
        <f t="shared" si="330"/>
        <v>0</v>
      </c>
      <c r="N815" s="639">
        <f t="shared" si="330"/>
        <v>0</v>
      </c>
      <c r="O815" s="639">
        <f t="shared" ref="O815:O817" si="331">IF(L815&gt;0,N815*100/L815,0)</f>
        <v>0</v>
      </c>
      <c r="P815" s="639">
        <f t="shared" ref="P815:P817" si="332">IF(M815&gt;0,N815*100/M815,0)</f>
        <v>0</v>
      </c>
      <c r="Q815" s="596"/>
      <c r="R815" s="596"/>
      <c r="S815" s="596"/>
      <c r="T815" s="596"/>
      <c r="U815" s="596"/>
      <c r="V815" s="596"/>
      <c r="W815" s="596"/>
      <c r="X815" s="596"/>
      <c r="Y815" s="596"/>
      <c r="Z815" s="596"/>
    </row>
    <row r="816" spans="1:26" ht="18.75" hidden="1">
      <c r="A816" s="591"/>
      <c r="B816" s="599"/>
      <c r="C816" s="749"/>
      <c r="D816" s="599"/>
      <c r="E816" s="749" t="s">
        <v>18</v>
      </c>
      <c r="F816" s="749"/>
      <c r="G816" s="595"/>
      <c r="H816" s="161" t="s">
        <v>12</v>
      </c>
      <c r="I816" s="162"/>
      <c r="J816" s="162"/>
      <c r="K816" s="163"/>
      <c r="L816" s="90">
        <v>0</v>
      </c>
      <c r="M816" s="90">
        <v>0</v>
      </c>
      <c r="N816" s="90">
        <v>0</v>
      </c>
      <c r="O816" s="90">
        <f t="shared" si="331"/>
        <v>0</v>
      </c>
      <c r="P816" s="90">
        <f t="shared" si="332"/>
        <v>0</v>
      </c>
      <c r="Q816" s="596"/>
      <c r="R816" s="596"/>
      <c r="S816" s="596"/>
      <c r="T816" s="596"/>
      <c r="U816" s="596"/>
      <c r="V816" s="596"/>
      <c r="W816" s="596"/>
      <c r="X816" s="596"/>
      <c r="Y816" s="596"/>
      <c r="Z816" s="596"/>
    </row>
    <row r="817" spans="1:26" ht="18.75" hidden="1">
      <c r="A817" s="591"/>
      <c r="B817" s="599"/>
      <c r="C817" s="749"/>
      <c r="D817" s="599"/>
      <c r="E817" s="749" t="s">
        <v>19</v>
      </c>
      <c r="F817" s="749"/>
      <c r="G817" s="595"/>
      <c r="H817" s="165" t="s">
        <v>12</v>
      </c>
      <c r="I817" s="162"/>
      <c r="J817" s="162"/>
      <c r="K817" s="163"/>
      <c r="L817" s="90">
        <v>0</v>
      </c>
      <c r="M817" s="90">
        <v>0</v>
      </c>
      <c r="N817" s="90">
        <v>0</v>
      </c>
      <c r="O817" s="90">
        <f t="shared" si="331"/>
        <v>0</v>
      </c>
      <c r="P817" s="90">
        <f t="shared" si="332"/>
        <v>0</v>
      </c>
      <c r="Q817" s="596"/>
      <c r="R817" s="596"/>
      <c r="S817" s="596"/>
      <c r="T817" s="596"/>
      <c r="U817" s="596"/>
      <c r="V817" s="596"/>
      <c r="W817" s="596"/>
      <c r="X817" s="596"/>
      <c r="Y817" s="596"/>
      <c r="Z817" s="596"/>
    </row>
    <row r="818" spans="1:26" ht="19.5" hidden="1">
      <c r="A818" s="606"/>
      <c r="B818" s="608"/>
      <c r="C818" s="749" t="s">
        <v>16</v>
      </c>
      <c r="D818" s="844" t="s">
        <v>38</v>
      </c>
      <c r="E818" s="643"/>
      <c r="F818" s="643"/>
      <c r="G818" s="644"/>
      <c r="H818" s="361"/>
      <c r="I818" s="162"/>
      <c r="J818" s="162"/>
      <c r="K818" s="163"/>
      <c r="L818" s="163"/>
      <c r="M818" s="163"/>
      <c r="N818" s="163"/>
      <c r="O818" s="163"/>
      <c r="P818" s="163"/>
      <c r="Q818" s="596"/>
      <c r="R818" s="596"/>
      <c r="S818" s="596"/>
      <c r="T818" s="596"/>
      <c r="U818" s="596"/>
      <c r="V818" s="596"/>
      <c r="W818" s="596"/>
      <c r="X818" s="596"/>
      <c r="Y818" s="596"/>
      <c r="Z818" s="596"/>
    </row>
    <row r="819" spans="1:26" ht="19.5" hidden="1" thickBot="1">
      <c r="A819" s="804"/>
      <c r="B819" s="805"/>
      <c r="C819" s="807"/>
      <c r="D819" s="805"/>
      <c r="E819" s="807" t="s">
        <v>323</v>
      </c>
      <c r="F819" s="807"/>
      <c r="G819" s="808"/>
      <c r="H819" s="809" t="s">
        <v>46</v>
      </c>
      <c r="I819" s="810"/>
      <c r="J819" s="810"/>
      <c r="K819" s="811"/>
      <c r="L819" s="811"/>
      <c r="M819" s="811"/>
      <c r="N819" s="811"/>
      <c r="O819" s="811"/>
      <c r="P819" s="811"/>
      <c r="Q819" s="596"/>
      <c r="R819" s="596"/>
      <c r="S819" s="596"/>
      <c r="T819" s="596"/>
      <c r="U819" s="596"/>
      <c r="V819" s="596"/>
      <c r="W819" s="596"/>
      <c r="X819" s="596"/>
      <c r="Y819" s="596"/>
      <c r="Z819" s="596"/>
    </row>
    <row r="820" spans="1:26" ht="19.5">
      <c r="A820" s="812" t="s">
        <v>331</v>
      </c>
      <c r="B820" s="813"/>
      <c r="C820" s="813"/>
      <c r="D820" s="814"/>
      <c r="E820" s="813"/>
      <c r="F820" s="813"/>
      <c r="G820" s="815"/>
      <c r="H820" s="815"/>
      <c r="I820" s="210"/>
      <c r="J820" s="210"/>
      <c r="K820" s="816"/>
      <c r="L820" s="816"/>
      <c r="M820" s="816"/>
      <c r="N820" s="816"/>
      <c r="O820" s="816"/>
      <c r="P820" s="816"/>
      <c r="Q820" s="570"/>
      <c r="R820" s="570"/>
      <c r="S820" s="570"/>
      <c r="T820" s="570"/>
      <c r="U820" s="570"/>
      <c r="V820" s="570"/>
      <c r="W820" s="570"/>
      <c r="X820" s="570"/>
      <c r="Y820" s="570"/>
      <c r="Z820" s="570"/>
    </row>
    <row r="821" spans="1:26" ht="18.75">
      <c r="A821" s="734"/>
      <c r="B821" s="753" t="s">
        <v>325</v>
      </c>
      <c r="C821" s="753"/>
      <c r="D821" s="567"/>
      <c r="E821" s="753"/>
      <c r="F821" s="753"/>
      <c r="G821" s="185"/>
      <c r="H821" s="615" t="s">
        <v>12</v>
      </c>
      <c r="I821" s="264">
        <f ca="1">IFERROR(__xludf.DUMMYFUNCTION("IMPORTRANGE(""https://docs.google.com/spreadsheets/d/19vJNZY_5yjcGF2XGBMNZRCAIB0Kwfpjp8YEOfu-bneM/edit?usp=sharing"",""งานกองทุน!D73"")"),0)</f>
        <v>0</v>
      </c>
      <c r="J821" s="264">
        <f ca="1">IFERROR(__xludf.DUMMYFUNCTION("IMPORTRANGE(""https://docs.google.com/spreadsheets/d/19vJNZY_5yjcGF2XGBMNZRCAIB0Kwfpjp8YEOfu-bneM/edit?usp=sharing"",""งานกองทุน!F73"")"),0)</f>
        <v>0</v>
      </c>
      <c r="K821" s="495">
        <f t="shared" ref="K821:K828" ca="1" si="333">IF(I821&gt;0,J821*100/I821,0)</f>
        <v>0</v>
      </c>
      <c r="L821" s="495"/>
      <c r="M821" s="495"/>
      <c r="N821" s="495"/>
      <c r="O821" s="495"/>
      <c r="P821" s="495"/>
      <c r="Q821" s="570"/>
      <c r="R821" s="570"/>
      <c r="S821" s="570"/>
      <c r="T821" s="570"/>
      <c r="U821" s="570"/>
      <c r="V821" s="570"/>
      <c r="W821" s="570"/>
      <c r="X821" s="570"/>
      <c r="Y821" s="570"/>
      <c r="Z821" s="570"/>
    </row>
    <row r="822" spans="1:26" ht="18.75">
      <c r="A822" s="734"/>
      <c r="B822" s="753"/>
      <c r="C822" s="753"/>
      <c r="D822" s="567"/>
      <c r="E822" s="753"/>
      <c r="F822" s="753"/>
      <c r="G822" s="185"/>
      <c r="H822" s="615" t="s">
        <v>35</v>
      </c>
      <c r="I822" s="264">
        <f ca="1">IFERROR(__xludf.DUMMYFUNCTION("IMPORTRANGE(""https://docs.google.com/spreadsheets/d/19vJNZY_5yjcGF2XGBMNZRCAIB0Kwfpjp8YEOfu-bneM/edit?usp=sharing"",""งานกองทุน!C73"")"),0)</f>
        <v>0</v>
      </c>
      <c r="J822" s="264">
        <f ca="1">IFERROR(__xludf.DUMMYFUNCTION("IMPORTRANGE(""https://docs.google.com/spreadsheets/d/19vJNZY_5yjcGF2XGBMNZRCAIB0Kwfpjp8YEOfu-bneM/edit?usp=sharing"",""งานกองทุน!E73"")"),0)</f>
        <v>0</v>
      </c>
      <c r="K822" s="495">
        <f t="shared" ca="1" si="333"/>
        <v>0</v>
      </c>
      <c r="L822" s="495"/>
      <c r="M822" s="495"/>
      <c r="N822" s="495"/>
      <c r="O822" s="495"/>
      <c r="P822" s="495"/>
      <c r="Q822" s="570"/>
      <c r="R822" s="570"/>
      <c r="S822" s="570"/>
      <c r="T822" s="570"/>
      <c r="U822" s="570"/>
      <c r="V822" s="570"/>
      <c r="W822" s="570"/>
      <c r="X822" s="570"/>
      <c r="Y822" s="570"/>
      <c r="Z822" s="570"/>
    </row>
    <row r="823" spans="1:26" ht="18.75">
      <c r="A823" s="734"/>
      <c r="B823" s="753" t="s">
        <v>326</v>
      </c>
      <c r="C823" s="753"/>
      <c r="D823" s="567"/>
      <c r="E823" s="753"/>
      <c r="F823" s="753"/>
      <c r="G823" s="185"/>
      <c r="H823" s="615" t="s">
        <v>12</v>
      </c>
      <c r="I823" s="264">
        <f ca="1">IFERROR(__xludf.DUMMYFUNCTION("IMPORTRANGE(""https://docs.google.com/spreadsheets/d/19vJNZY_5yjcGF2XGBMNZRCAIB0Kwfpjp8YEOfu-bneM/edit?usp=sharing"",""งานกองทุน!I73"")"),29317.68)</f>
        <v>29317.68</v>
      </c>
      <c r="J823" s="264">
        <f ca="1">IFERROR(__xludf.DUMMYFUNCTION("IMPORTRANGE(""https://docs.google.com/spreadsheets/d/19vJNZY_5yjcGF2XGBMNZRCAIB0Kwfpjp8YEOfu-bneM/edit?usp=sharing"",""งานกองทุน!K73"")"),0)</f>
        <v>0</v>
      </c>
      <c r="K823" s="495">
        <f t="shared" ca="1" si="333"/>
        <v>0</v>
      </c>
      <c r="L823" s="495"/>
      <c r="M823" s="495"/>
      <c r="N823" s="495"/>
      <c r="O823" s="495"/>
      <c r="P823" s="495"/>
      <c r="Q823" s="570"/>
      <c r="R823" s="570"/>
      <c r="S823" s="570"/>
      <c r="T823" s="570"/>
      <c r="U823" s="570"/>
      <c r="V823" s="570"/>
      <c r="W823" s="570"/>
      <c r="X823" s="570"/>
      <c r="Y823" s="570"/>
      <c r="Z823" s="570"/>
    </row>
    <row r="824" spans="1:26" ht="18.75">
      <c r="A824" s="734"/>
      <c r="B824" s="753"/>
      <c r="C824" s="753"/>
      <c r="D824" s="567"/>
      <c r="E824" s="753"/>
      <c r="F824" s="753"/>
      <c r="G824" s="185"/>
      <c r="H824" s="615" t="s">
        <v>35</v>
      </c>
      <c r="I824" s="264">
        <f ca="1">IFERROR(__xludf.DUMMYFUNCTION("IMPORTRANGE(""https://docs.google.com/spreadsheets/d/19vJNZY_5yjcGF2XGBMNZRCAIB0Kwfpjp8YEOfu-bneM/edit?usp=sharing"",""งานกองทุน!H73"")"),3)</f>
        <v>3</v>
      </c>
      <c r="J824" s="264">
        <f ca="1">IFERROR(__xludf.DUMMYFUNCTION("IMPORTRANGE(""https://docs.google.com/spreadsheets/d/19vJNZY_5yjcGF2XGBMNZRCAIB0Kwfpjp8YEOfu-bneM/edit?usp=sharing"",""งานกองทุน!J73"")"),0)</f>
        <v>0</v>
      </c>
      <c r="K824" s="495">
        <f t="shared" ca="1" si="333"/>
        <v>0</v>
      </c>
      <c r="L824" s="495"/>
      <c r="M824" s="495"/>
      <c r="N824" s="495"/>
      <c r="O824" s="495"/>
      <c r="P824" s="495"/>
      <c r="Q824" s="570"/>
      <c r="R824" s="570"/>
      <c r="S824" s="570"/>
      <c r="T824" s="570"/>
      <c r="U824" s="570"/>
      <c r="V824" s="570"/>
      <c r="W824" s="570"/>
      <c r="X824" s="570"/>
      <c r="Y824" s="570"/>
      <c r="Z824" s="570"/>
    </row>
    <row r="825" spans="1:26" ht="18.75">
      <c r="A825" s="734"/>
      <c r="B825" s="753" t="s">
        <v>327</v>
      </c>
      <c r="C825" s="753"/>
      <c r="D825" s="567"/>
      <c r="E825" s="753"/>
      <c r="F825" s="753"/>
      <c r="G825" s="185"/>
      <c r="H825" s="615" t="s">
        <v>12</v>
      </c>
      <c r="I825" s="264">
        <f ca="1">IFERROR(__xludf.DUMMYFUNCTION("IMPORTRANGE(""https://docs.google.com/spreadsheets/d/19vJNZY_5yjcGF2XGBMNZRCAIB0Kwfpjp8YEOfu-bneM/edit?usp=sharing"",""งานกองทุน!N73"")"),0)</f>
        <v>0</v>
      </c>
      <c r="J825" s="264">
        <f ca="1">IFERROR(__xludf.DUMMYFUNCTION("IMPORTRANGE(""https://docs.google.com/spreadsheets/d/19vJNZY_5yjcGF2XGBMNZRCAIB0Kwfpjp8YEOfu-bneM/edit?usp=sharing"",""งานกองทุน!P73"")"),0)</f>
        <v>0</v>
      </c>
      <c r="K825" s="495">
        <f t="shared" ca="1" si="333"/>
        <v>0</v>
      </c>
      <c r="L825" s="495"/>
      <c r="M825" s="495"/>
      <c r="N825" s="495"/>
      <c r="O825" s="495"/>
      <c r="P825" s="495"/>
      <c r="Q825" s="570"/>
      <c r="R825" s="570"/>
      <c r="S825" s="570"/>
      <c r="T825" s="570"/>
      <c r="U825" s="570"/>
      <c r="V825" s="570"/>
      <c r="W825" s="570"/>
      <c r="X825" s="570"/>
      <c r="Y825" s="570"/>
      <c r="Z825" s="570"/>
    </row>
    <row r="826" spans="1:26" ht="18.75">
      <c r="A826" s="734"/>
      <c r="B826" s="753"/>
      <c r="C826" s="753"/>
      <c r="D826" s="567"/>
      <c r="E826" s="753"/>
      <c r="F826" s="753"/>
      <c r="G826" s="185"/>
      <c r="H826" s="615" t="s">
        <v>35</v>
      </c>
      <c r="I826" s="264">
        <f ca="1">IFERROR(__xludf.DUMMYFUNCTION("IMPORTRANGE(""https://docs.google.com/spreadsheets/d/19vJNZY_5yjcGF2XGBMNZRCAIB0Kwfpjp8YEOfu-bneM/edit?usp=sharing"",""งานกองทุน!M73"")"),0)</f>
        <v>0</v>
      </c>
      <c r="J826" s="264">
        <f ca="1">IFERROR(__xludf.DUMMYFUNCTION("IMPORTRANGE(""https://docs.google.com/spreadsheets/d/19vJNZY_5yjcGF2XGBMNZRCAIB0Kwfpjp8YEOfu-bneM/edit?usp=sharing"",""งานกองทุน!O73"")"),0)</f>
        <v>0</v>
      </c>
      <c r="K826" s="495">
        <f t="shared" ca="1" si="333"/>
        <v>0</v>
      </c>
      <c r="L826" s="495"/>
      <c r="M826" s="495"/>
      <c r="N826" s="495"/>
      <c r="O826" s="495"/>
      <c r="P826" s="495"/>
      <c r="Q826" s="570"/>
      <c r="R826" s="570"/>
      <c r="S826" s="570"/>
      <c r="T826" s="570"/>
      <c r="U826" s="570"/>
      <c r="V826" s="570"/>
      <c r="W826" s="570"/>
      <c r="X826" s="570"/>
      <c r="Y826" s="570"/>
      <c r="Z826" s="570"/>
    </row>
    <row r="827" spans="1:26" ht="18.75">
      <c r="A827" s="734"/>
      <c r="B827" s="753" t="s">
        <v>328</v>
      </c>
      <c r="C827" s="753"/>
      <c r="D827" s="567"/>
      <c r="E827" s="753"/>
      <c r="F827" s="753"/>
      <c r="G827" s="185"/>
      <c r="H827" s="615" t="s">
        <v>12</v>
      </c>
      <c r="I827" s="264">
        <f ca="1">IFERROR(__xludf.DUMMYFUNCTION("IMPORTRANGE(""https://docs.google.com/spreadsheets/d/19vJNZY_5yjcGF2XGBMNZRCAIB0Kwfpjp8YEOfu-bneM/edit?usp=sharing"",""งานกองทุน!S73"")"),680000)</f>
        <v>680000</v>
      </c>
      <c r="J827" s="264">
        <f ca="1">IFERROR(__xludf.DUMMYFUNCTION("IMPORTRANGE(""https://docs.google.com/spreadsheets/d/19vJNZY_5yjcGF2XGBMNZRCAIB0Kwfpjp8YEOfu-bneM/edit?usp=sharing"",""งานกองทุน!U73"")"),0)</f>
        <v>0</v>
      </c>
      <c r="K827" s="495">
        <f t="shared" ca="1" si="333"/>
        <v>0</v>
      </c>
      <c r="L827" s="495"/>
      <c r="M827" s="495"/>
      <c r="N827" s="495"/>
      <c r="O827" s="495"/>
      <c r="P827" s="495"/>
      <c r="Q827" s="570"/>
      <c r="R827" s="570"/>
      <c r="S827" s="570"/>
      <c r="T827" s="570"/>
      <c r="U827" s="570"/>
      <c r="V827" s="570"/>
      <c r="W827" s="570"/>
      <c r="X827" s="570"/>
      <c r="Y827" s="570"/>
      <c r="Z827" s="570"/>
    </row>
    <row r="828" spans="1:26" ht="18.75">
      <c r="A828" s="737"/>
      <c r="B828" s="739"/>
      <c r="C828" s="739"/>
      <c r="D828" s="738"/>
      <c r="E828" s="739"/>
      <c r="F828" s="739"/>
      <c r="G828" s="817"/>
      <c r="H828" s="818" t="s">
        <v>35</v>
      </c>
      <c r="I828" s="498">
        <f ca="1">IFERROR(__xludf.DUMMYFUNCTION("IMPORTRANGE(""https://docs.google.com/spreadsheets/d/19vJNZY_5yjcGF2XGBMNZRCAIB0Kwfpjp8YEOfu-bneM/edit?usp=sharing"",""งานกองทุน!R73"")"),27)</f>
        <v>27</v>
      </c>
      <c r="J828" s="498">
        <f ca="1">IFERROR(__xludf.DUMMYFUNCTION("IMPORTRANGE(""https://docs.google.com/spreadsheets/d/19vJNZY_5yjcGF2XGBMNZRCAIB0Kwfpjp8YEOfu-bneM/edit?usp=sharing"",""งานกองทุน!T73"")"),58)</f>
        <v>58</v>
      </c>
      <c r="K828" s="499">
        <f t="shared" ca="1" si="333"/>
        <v>214.81481481481481</v>
      </c>
      <c r="L828" s="499"/>
      <c r="M828" s="499"/>
      <c r="N828" s="499"/>
      <c r="O828" s="499"/>
      <c r="P828" s="499"/>
      <c r="Q828" s="570"/>
      <c r="R828" s="570"/>
      <c r="S828" s="570"/>
      <c r="T828" s="570"/>
      <c r="U828" s="570"/>
      <c r="V828" s="570"/>
      <c r="W828" s="570"/>
      <c r="X828" s="570"/>
      <c r="Y828" s="570"/>
      <c r="Z828" s="57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2022-12-22T04:40:11Z</dcterms:modified>
</cp:coreProperties>
</file>